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120" windowHeight="8532" firstSheet="1" activeTab="12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S" sheetId="8" r:id="rId8"/>
    <sheet name="SEPT" sheetId="9" r:id="rId9"/>
    <sheet name="OCT" sheetId="10" r:id="rId10"/>
    <sheet name="NOV" sheetId="11" r:id="rId11"/>
    <sheet name="DIC" sheetId="12" r:id="rId12"/>
    <sheet name="ACUM " sheetId="13" r:id="rId13"/>
  </sheets>
  <definedNames/>
  <calcPr fullCalcOnLoad="1"/>
</workbook>
</file>

<file path=xl/sharedStrings.xml><?xml version="1.0" encoding="utf-8"?>
<sst xmlns="http://schemas.openxmlformats.org/spreadsheetml/2006/main" count="524" uniqueCount="42">
  <si>
    <t>No.</t>
  </si>
  <si>
    <t>CONCEPTO</t>
  </si>
  <si>
    <t>AVIANCA</t>
  </si>
  <si>
    <t>AIRES</t>
  </si>
  <si>
    <t>TOTAL</t>
  </si>
  <si>
    <t>VUELOS PROGRAMADOS</t>
  </si>
  <si>
    <t>VUELOS ADICIONALES</t>
  </si>
  <si>
    <t>CANCELADOS</t>
  </si>
  <si>
    <t>FALTA DE TRAFICO</t>
  </si>
  <si>
    <t>POR INCONTROLABLES</t>
  </si>
  <si>
    <t>POR DAÑOS TECNICOS</t>
  </si>
  <si>
    <t>POR OPERACIONALES</t>
  </si>
  <si>
    <t>TOTAL POR INCONTROLABLES Y TRAFICO</t>
  </si>
  <si>
    <t>TOTAL POR DAÑOS TECNICOS Y OPERACIONALES</t>
  </si>
  <si>
    <t>DEMORADOS</t>
  </si>
  <si>
    <t>POR FALTA DE TRAFICO</t>
  </si>
  <si>
    <t>No. VUELOS</t>
  </si>
  <si>
    <t>MINUTOS</t>
  </si>
  <si>
    <t>TOTAL VUELOS DEMORADOS</t>
  </si>
  <si>
    <t>TOTAL DEMORAS EN MINUTOS</t>
  </si>
  <si>
    <t>TOTAL VUELOS</t>
  </si>
  <si>
    <t>VUELOS VENDIDOS</t>
  </si>
  <si>
    <t>VUELOS CUMPLIDOS</t>
  </si>
  <si>
    <t>CUMPLIMIENTO DE LA EMPRESA</t>
  </si>
  <si>
    <t>TIEMPO PROMEDIO POR DEMORA (EN MINUTOS)</t>
  </si>
  <si>
    <t>ANALISIS DE CUMPLIMIENTO</t>
  </si>
  <si>
    <t>ENERO 2007</t>
  </si>
  <si>
    <t>OPERACIÓN NACIONAL</t>
  </si>
  <si>
    <t>ADA</t>
  </si>
  <si>
    <t>AEROREP</t>
  </si>
  <si>
    <t>SAM</t>
  </si>
  <si>
    <t>FEBRERO 2007</t>
  </si>
  <si>
    <t>MARZO 2007</t>
  </si>
  <si>
    <t>ABRIL 2007</t>
  </si>
  <si>
    <t>MAYO 2007</t>
  </si>
  <si>
    <t>JUNIO 2007</t>
  </si>
  <si>
    <t>JULIO 2007</t>
  </si>
  <si>
    <t>SEPTIEMBRE. 2007</t>
  </si>
  <si>
    <t>AGOSTO. 2007</t>
  </si>
  <si>
    <t>OCTUBRE. 2007</t>
  </si>
  <si>
    <t>NOVIEMBRE. 2007</t>
  </si>
  <si>
    <t>DICIEMBRE. 2007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</si>
</sst>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9">
    <font>
      <sz val="10"/>
      <name val="Arial"/>
      <family val="0"/>
    </font>
    <font>
      <sz val="10"/>
      <name val="Book Antiqua"/>
      <family val="1"/>
    </font>
    <font>
      <sz val="9"/>
      <name val="Book Antiqua"/>
      <family val="1"/>
    </font>
    <font>
      <b/>
      <i/>
      <sz val="10"/>
      <name val="Book Antiqua"/>
      <family val="1"/>
    </font>
    <font>
      <i/>
      <sz val="10"/>
      <name val="Book Antiqua"/>
      <family val="1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3.75"/>
      <name val="Arial"/>
      <family val="2"/>
    </font>
    <font>
      <b/>
      <sz val="3"/>
      <name val="Arial"/>
      <family val="2"/>
    </font>
    <font>
      <sz val="3.5"/>
      <name val="Arial"/>
      <family val="0"/>
    </font>
    <font>
      <sz val="3.25"/>
      <name val="Arial"/>
      <family val="2"/>
    </font>
    <font>
      <b/>
      <sz val="2.5"/>
      <name val="Arial"/>
      <family val="2"/>
    </font>
    <font>
      <b/>
      <sz val="8"/>
      <name val="Arial"/>
      <family val="2"/>
    </font>
    <font>
      <b/>
      <sz val="10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3" fillId="0" borderId="1" xfId="0" applyNumberFormat="1" applyFont="1" applyBorder="1" applyAlignment="1" applyProtection="1">
      <alignment horizontal="right"/>
      <protection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 applyProtection="1">
      <alignment horizontal="right"/>
      <protection/>
    </xf>
    <xf numFmtId="3" fontId="4" fillId="0" borderId="1" xfId="0" applyNumberFormat="1" applyFont="1" applyBorder="1" applyAlignment="1">
      <alignment horizontal="right"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>
      <alignment horizontal="left"/>
    </xf>
    <xf numFmtId="3" fontId="8" fillId="0" borderId="2" xfId="0" applyNumberFormat="1" applyFont="1" applyBorder="1" applyAlignment="1" applyProtection="1">
      <alignment horizontal="right"/>
      <protection/>
    </xf>
    <xf numFmtId="3" fontId="3" fillId="0" borderId="3" xfId="0" applyNumberFormat="1" applyFont="1" applyBorder="1" applyAlignment="1" applyProtection="1">
      <alignment horizontal="right"/>
      <protection/>
    </xf>
    <xf numFmtId="3" fontId="3" fillId="0" borderId="4" xfId="0" applyNumberFormat="1" applyFont="1" applyBorder="1" applyAlignment="1" applyProtection="1">
      <alignment horizontal="right"/>
      <protection/>
    </xf>
    <xf numFmtId="3" fontId="3" fillId="0" borderId="5" xfId="0" applyNumberFormat="1" applyFont="1" applyBorder="1" applyAlignment="1" applyProtection="1">
      <alignment horizontal="right"/>
      <protection/>
    </xf>
    <xf numFmtId="3" fontId="3" fillId="0" borderId="6" xfId="0" applyNumberFormat="1" applyFont="1" applyBorder="1" applyAlignment="1" applyProtection="1">
      <alignment horizontal="right"/>
      <protection/>
    </xf>
    <xf numFmtId="3" fontId="3" fillId="0" borderId="7" xfId="0" applyNumberFormat="1" applyFont="1" applyBorder="1" applyAlignment="1" applyProtection="1">
      <alignment horizontal="right"/>
      <protection/>
    </xf>
    <xf numFmtId="3" fontId="3" fillId="0" borderId="8" xfId="0" applyNumberFormat="1" applyFont="1" applyBorder="1" applyAlignment="1" applyProtection="1">
      <alignment horizontal="right"/>
      <protection/>
    </xf>
    <xf numFmtId="3" fontId="3" fillId="0" borderId="9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3" fontId="3" fillId="2" borderId="11" xfId="0" applyNumberFormat="1" applyFont="1" applyFill="1" applyBorder="1" applyAlignment="1" applyProtection="1">
      <alignment horizontal="right"/>
      <protection/>
    </xf>
    <xf numFmtId="3" fontId="3" fillId="2" borderId="12" xfId="0" applyNumberFormat="1" applyFont="1" applyFill="1" applyBorder="1" applyAlignment="1" applyProtection="1">
      <alignment horizontal="right"/>
      <protection/>
    </xf>
    <xf numFmtId="3" fontId="3" fillId="2" borderId="13" xfId="0" applyNumberFormat="1" applyFont="1" applyFill="1" applyBorder="1" applyAlignment="1" applyProtection="1">
      <alignment horizontal="right"/>
      <protection/>
    </xf>
    <xf numFmtId="3" fontId="3" fillId="2" borderId="11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3" fontId="3" fillId="3" borderId="11" xfId="0" applyNumberFormat="1" applyFont="1" applyFill="1" applyBorder="1" applyAlignment="1" applyProtection="1">
      <alignment horizontal="right"/>
      <protection/>
    </xf>
    <xf numFmtId="3" fontId="3" fillId="3" borderId="12" xfId="0" applyNumberFormat="1" applyFont="1" applyFill="1" applyBorder="1" applyAlignment="1" applyProtection="1">
      <alignment horizontal="right"/>
      <protection/>
    </xf>
    <xf numFmtId="3" fontId="3" fillId="3" borderId="13" xfId="0" applyNumberFormat="1" applyFont="1" applyFill="1" applyBorder="1" applyAlignment="1" applyProtection="1">
      <alignment horizontal="right"/>
      <protection/>
    </xf>
    <xf numFmtId="3" fontId="3" fillId="3" borderId="14" xfId="0" applyNumberFormat="1" applyFont="1" applyFill="1" applyBorder="1" applyAlignment="1" applyProtection="1">
      <alignment horizontal="right"/>
      <protection/>
    </xf>
    <xf numFmtId="9" fontId="3" fillId="3" borderId="15" xfId="21" applyNumberFormat="1" applyFont="1" applyFill="1" applyBorder="1" applyAlignment="1" applyProtection="1">
      <alignment horizontal="right"/>
      <protection/>
    </xf>
    <xf numFmtId="9" fontId="3" fillId="3" borderId="16" xfId="21" applyNumberFormat="1" applyFont="1" applyFill="1" applyBorder="1" applyAlignment="1" applyProtection="1">
      <alignment horizontal="right"/>
      <protection/>
    </xf>
    <xf numFmtId="9" fontId="3" fillId="3" borderId="17" xfId="21" applyNumberFormat="1" applyFont="1" applyFill="1" applyBorder="1" applyAlignment="1" applyProtection="1">
      <alignment horizontal="right"/>
      <protection/>
    </xf>
    <xf numFmtId="9" fontId="3" fillId="3" borderId="18" xfId="21" applyNumberFormat="1" applyFont="1" applyFill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2" borderId="18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3" fontId="3" fillId="0" borderId="21" xfId="0" applyNumberFormat="1" applyFont="1" applyBorder="1" applyAlignment="1" applyProtection="1">
      <alignment horizontal="right"/>
      <protection/>
    </xf>
    <xf numFmtId="3" fontId="3" fillId="0" borderId="22" xfId="0" applyNumberFormat="1" applyFont="1" applyBorder="1" applyAlignment="1" applyProtection="1">
      <alignment horizontal="right"/>
      <protection/>
    </xf>
    <xf numFmtId="3" fontId="3" fillId="2" borderId="23" xfId="0" applyNumberFormat="1" applyFont="1" applyFill="1" applyBorder="1" applyAlignment="1" applyProtection="1">
      <alignment horizontal="right"/>
      <protection/>
    </xf>
    <xf numFmtId="3" fontId="3" fillId="2" borderId="24" xfId="0" applyNumberFormat="1" applyFont="1" applyFill="1" applyBorder="1" applyAlignment="1" applyProtection="1">
      <alignment horizontal="right"/>
      <protection/>
    </xf>
    <xf numFmtId="3" fontId="3" fillId="2" borderId="25" xfId="0" applyNumberFormat="1" applyFont="1" applyFill="1" applyBorder="1" applyAlignment="1" applyProtection="1">
      <alignment horizontal="right"/>
      <protection/>
    </xf>
    <xf numFmtId="3" fontId="3" fillId="0" borderId="2" xfId="0" applyNumberFormat="1" applyFont="1" applyBorder="1" applyAlignment="1" applyProtection="1">
      <alignment horizontal="right"/>
      <protection/>
    </xf>
    <xf numFmtId="3" fontId="3" fillId="0" borderId="26" xfId="0" applyNumberFormat="1" applyFont="1" applyBorder="1" applyAlignment="1" applyProtection="1">
      <alignment horizontal="right"/>
      <protection/>
    </xf>
    <xf numFmtId="3" fontId="3" fillId="0" borderId="27" xfId="0" applyNumberFormat="1" applyFont="1" applyBorder="1" applyAlignment="1" applyProtection="1">
      <alignment horizontal="right"/>
      <protection/>
    </xf>
    <xf numFmtId="3" fontId="3" fillId="0" borderId="28" xfId="0" applyNumberFormat="1" applyFont="1" applyBorder="1" applyAlignment="1" applyProtection="1">
      <alignment horizontal="right"/>
      <protection/>
    </xf>
    <xf numFmtId="3" fontId="3" fillId="0" borderId="29" xfId="0" applyNumberFormat="1" applyFont="1" applyBorder="1" applyAlignment="1" applyProtection="1">
      <alignment horizontal="right"/>
      <protection/>
    </xf>
    <xf numFmtId="3" fontId="3" fillId="0" borderId="30" xfId="0" applyNumberFormat="1" applyFont="1" applyBorder="1" applyAlignment="1" applyProtection="1">
      <alignment horizontal="right"/>
      <protection/>
    </xf>
    <xf numFmtId="3" fontId="3" fillId="0" borderId="31" xfId="0" applyNumberFormat="1" applyFont="1" applyBorder="1" applyAlignment="1" applyProtection="1">
      <alignment horizontal="right"/>
      <protection/>
    </xf>
    <xf numFmtId="3" fontId="3" fillId="0" borderId="32" xfId="0" applyNumberFormat="1" applyFont="1" applyBorder="1" applyAlignment="1" applyProtection="1">
      <alignment horizontal="right"/>
      <protection/>
    </xf>
    <xf numFmtId="3" fontId="3" fillId="0" borderId="33" xfId="0" applyNumberFormat="1" applyFont="1" applyBorder="1" applyAlignment="1" applyProtection="1">
      <alignment horizontal="right"/>
      <protection/>
    </xf>
    <xf numFmtId="3" fontId="3" fillId="2" borderId="34" xfId="0" applyNumberFormat="1" applyFont="1" applyFill="1" applyBorder="1" applyAlignment="1">
      <alignment horizontal="right"/>
    </xf>
    <xf numFmtId="3" fontId="3" fillId="2" borderId="35" xfId="0" applyNumberFormat="1" applyFont="1" applyFill="1" applyBorder="1" applyAlignment="1">
      <alignment horizontal="right"/>
    </xf>
    <xf numFmtId="3" fontId="3" fillId="2" borderId="36" xfId="0" applyNumberFormat="1" applyFont="1" applyFill="1" applyBorder="1" applyAlignment="1">
      <alignment horizontal="right"/>
    </xf>
    <xf numFmtId="0" fontId="3" fillId="3" borderId="18" xfId="0" applyFont="1" applyFill="1" applyBorder="1" applyAlignment="1" applyProtection="1">
      <alignment horizontal="center" textRotation="90"/>
      <protection/>
    </xf>
    <xf numFmtId="3" fontId="3" fillId="3" borderId="37" xfId="0" applyNumberFormat="1" applyFont="1" applyFill="1" applyBorder="1" applyAlignment="1" applyProtection="1">
      <alignment horizontal="right"/>
      <protection/>
    </xf>
    <xf numFmtId="3" fontId="3" fillId="3" borderId="38" xfId="0" applyNumberFormat="1" applyFont="1" applyFill="1" applyBorder="1" applyAlignment="1" applyProtection="1">
      <alignment horizontal="right"/>
      <protection/>
    </xf>
    <xf numFmtId="3" fontId="3" fillId="3" borderId="18" xfId="0" applyNumberFormat="1" applyFont="1" applyFill="1" applyBorder="1" applyAlignment="1" applyProtection="1">
      <alignment horizontal="right"/>
      <protection/>
    </xf>
    <xf numFmtId="3" fontId="3" fillId="3" borderId="39" xfId="0" applyNumberFormat="1" applyFont="1" applyFill="1" applyBorder="1" applyAlignment="1" applyProtection="1">
      <alignment horizontal="right"/>
      <protection/>
    </xf>
    <xf numFmtId="3" fontId="3" fillId="3" borderId="40" xfId="0" applyNumberFormat="1" applyFont="1" applyFill="1" applyBorder="1" applyAlignment="1" applyProtection="1">
      <alignment horizontal="right"/>
      <protection/>
    </xf>
    <xf numFmtId="3" fontId="3" fillId="0" borderId="3" xfId="0" applyNumberFormat="1" applyFont="1" applyBorder="1" applyAlignment="1">
      <alignment horizontal="right"/>
    </xf>
    <xf numFmtId="0" fontId="3" fillId="2" borderId="16" xfId="0" applyFont="1" applyFill="1" applyBorder="1" applyAlignment="1" applyProtection="1">
      <alignment horizontal="center" textRotation="90"/>
      <protection/>
    </xf>
    <xf numFmtId="0" fontId="3" fillId="2" borderId="15" xfId="0" applyFont="1" applyFill="1" applyBorder="1" applyAlignment="1" applyProtection="1">
      <alignment horizontal="center" textRotation="90"/>
      <protection/>
    </xf>
    <xf numFmtId="3" fontId="3" fillId="0" borderId="41" xfId="0" applyNumberFormat="1" applyFont="1" applyBorder="1" applyAlignment="1" applyProtection="1">
      <alignment horizontal="right"/>
      <protection/>
    </xf>
    <xf numFmtId="3" fontId="4" fillId="0" borderId="41" xfId="0" applyNumberFormat="1" applyFont="1" applyBorder="1" applyAlignment="1" applyProtection="1">
      <alignment horizontal="right"/>
      <protection/>
    </xf>
    <xf numFmtId="3" fontId="3" fillId="0" borderId="41" xfId="0" applyNumberFormat="1" applyFont="1" applyBorder="1" applyAlignment="1">
      <alignment horizontal="right"/>
    </xf>
    <xf numFmtId="3" fontId="3" fillId="0" borderId="42" xfId="0" applyNumberFormat="1" applyFont="1" applyBorder="1" applyAlignment="1" applyProtection="1">
      <alignment horizontal="right"/>
      <protection/>
    </xf>
    <xf numFmtId="3" fontId="4" fillId="0" borderId="42" xfId="0" applyNumberFormat="1" applyFont="1" applyBorder="1" applyAlignment="1" applyProtection="1">
      <alignment horizontal="right"/>
      <protection/>
    </xf>
    <xf numFmtId="3" fontId="3" fillId="0" borderId="42" xfId="0" applyNumberFormat="1" applyFont="1" applyBorder="1" applyAlignment="1">
      <alignment horizontal="right"/>
    </xf>
    <xf numFmtId="0" fontId="3" fillId="2" borderId="17" xfId="0" applyFont="1" applyFill="1" applyBorder="1" applyAlignment="1" applyProtection="1">
      <alignment horizontal="center" textRotation="90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center" textRotation="90"/>
      <protection/>
    </xf>
    <xf numFmtId="9" fontId="3" fillId="0" borderId="0" xfId="21" applyNumberFormat="1" applyFont="1" applyFill="1" applyBorder="1" applyAlignment="1" applyProtection="1">
      <alignment horizontal="right"/>
      <protection/>
    </xf>
    <xf numFmtId="3" fontId="3" fillId="0" borderId="44" xfId="0" applyNumberFormat="1" applyFont="1" applyBorder="1" applyAlignment="1" applyProtection="1">
      <alignment horizontal="right"/>
      <protection/>
    </xf>
    <xf numFmtId="3" fontId="4" fillId="0" borderId="44" xfId="0" applyNumberFormat="1" applyFont="1" applyBorder="1" applyAlignment="1" applyProtection="1">
      <alignment horizontal="right"/>
      <protection/>
    </xf>
    <xf numFmtId="3" fontId="3" fillId="0" borderId="44" xfId="0" applyNumberFormat="1" applyFont="1" applyBorder="1" applyAlignment="1">
      <alignment horizontal="right"/>
    </xf>
    <xf numFmtId="0" fontId="3" fillId="0" borderId="42" xfId="0" applyFont="1" applyBorder="1" applyAlignment="1" applyProtection="1">
      <alignment horizontal="left"/>
      <protection/>
    </xf>
    <xf numFmtId="0" fontId="3" fillId="0" borderId="45" xfId="0" applyFont="1" applyBorder="1" applyAlignment="1" applyProtection="1">
      <alignment horizontal="center"/>
      <protection/>
    </xf>
    <xf numFmtId="0" fontId="3" fillId="2" borderId="46" xfId="0" applyFont="1" applyFill="1" applyBorder="1" applyAlignment="1" applyProtection="1">
      <alignment horizontal="center"/>
      <protection/>
    </xf>
    <xf numFmtId="0" fontId="3" fillId="2" borderId="47" xfId="0" applyFont="1" applyFill="1" applyBorder="1" applyAlignment="1" applyProtection="1">
      <alignment horizontal="center" textRotation="90"/>
      <protection/>
    </xf>
    <xf numFmtId="3" fontId="3" fillId="0" borderId="48" xfId="0" applyNumberFormat="1" applyFont="1" applyBorder="1" applyAlignment="1" applyProtection="1">
      <alignment horizontal="right"/>
      <protection/>
    </xf>
    <xf numFmtId="3" fontId="3" fillId="0" borderId="49" xfId="0" applyNumberFormat="1" applyFont="1" applyBorder="1" applyAlignment="1" applyProtection="1">
      <alignment horizontal="right"/>
      <protection/>
    </xf>
    <xf numFmtId="3" fontId="3" fillId="0" borderId="50" xfId="0" applyNumberFormat="1" applyFont="1" applyBorder="1" applyAlignment="1" applyProtection="1">
      <alignment horizontal="right"/>
      <protection/>
    </xf>
    <xf numFmtId="3" fontId="3" fillId="0" borderId="51" xfId="0" applyNumberFormat="1" applyFont="1" applyBorder="1" applyAlignment="1" applyProtection="1">
      <alignment horizontal="right"/>
      <protection/>
    </xf>
    <xf numFmtId="3" fontId="4" fillId="0" borderId="51" xfId="0" applyNumberFormat="1" applyFont="1" applyBorder="1" applyAlignment="1" applyProtection="1">
      <alignment horizontal="right"/>
      <protection/>
    </xf>
    <xf numFmtId="3" fontId="3" fillId="0" borderId="51" xfId="0" applyNumberFormat="1" applyFont="1" applyBorder="1" applyAlignment="1">
      <alignment horizontal="right"/>
    </xf>
    <xf numFmtId="0" fontId="3" fillId="2" borderId="52" xfId="0" applyFont="1" applyFill="1" applyBorder="1" applyAlignment="1" applyProtection="1">
      <alignment horizontal="center"/>
      <protection/>
    </xf>
    <xf numFmtId="0" fontId="3" fillId="2" borderId="53" xfId="0" applyFont="1" applyFill="1" applyBorder="1" applyAlignment="1" applyProtection="1">
      <alignment horizontal="center" textRotation="90"/>
      <protection/>
    </xf>
    <xf numFmtId="3" fontId="3" fillId="0" borderId="54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55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left"/>
      <protection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3" fontId="8" fillId="0" borderId="56" xfId="0" applyNumberFormat="1" applyFont="1" applyBorder="1" applyAlignment="1" applyProtection="1">
      <alignment horizontal="right"/>
      <protection/>
    </xf>
    <xf numFmtId="0" fontId="3" fillId="0" borderId="57" xfId="0" applyFont="1" applyBorder="1" applyAlignment="1" applyProtection="1">
      <alignment horizontal="center"/>
      <protection/>
    </xf>
    <xf numFmtId="0" fontId="3" fillId="0" borderId="58" xfId="0" applyFont="1" applyBorder="1" applyAlignment="1" applyProtection="1">
      <alignment horizontal="center"/>
      <protection/>
    </xf>
    <xf numFmtId="3" fontId="8" fillId="0" borderId="59" xfId="0" applyNumberFormat="1" applyFont="1" applyBorder="1" applyAlignment="1" applyProtection="1">
      <alignment horizontal="right"/>
      <protection/>
    </xf>
    <xf numFmtId="3" fontId="8" fillId="0" borderId="60" xfId="0" applyNumberFormat="1" applyFont="1" applyBorder="1" applyAlignment="1" applyProtection="1">
      <alignment horizontal="right"/>
      <protection/>
    </xf>
    <xf numFmtId="3" fontId="3" fillId="0" borderId="60" xfId="0" applyNumberFormat="1" applyFont="1" applyBorder="1" applyAlignment="1" applyProtection="1">
      <alignment horizontal="right"/>
      <protection/>
    </xf>
    <xf numFmtId="3" fontId="3" fillId="0" borderId="60" xfId="0" applyNumberFormat="1" applyFont="1" applyBorder="1" applyAlignment="1">
      <alignment horizontal="right"/>
    </xf>
    <xf numFmtId="0" fontId="3" fillId="0" borderId="30" xfId="0" applyFont="1" applyBorder="1" applyAlignment="1" applyProtection="1">
      <alignment horizontal="left"/>
      <protection/>
    </xf>
    <xf numFmtId="0" fontId="3" fillId="2" borderId="61" xfId="0" applyFont="1" applyFill="1" applyBorder="1" applyAlignment="1" applyProtection="1">
      <alignment horizontal="center" textRotation="90"/>
      <protection/>
    </xf>
    <xf numFmtId="0" fontId="3" fillId="2" borderId="62" xfId="0" applyFont="1" applyFill="1" applyBorder="1" applyAlignment="1" applyProtection="1">
      <alignment horizontal="center" textRotation="90"/>
      <protection/>
    </xf>
    <xf numFmtId="3" fontId="4" fillId="0" borderId="2" xfId="0" applyNumberFormat="1" applyFont="1" applyBorder="1" applyAlignment="1" applyProtection="1">
      <alignment horizontal="right"/>
      <protection/>
    </xf>
    <xf numFmtId="3" fontId="4" fillId="0" borderId="2" xfId="0" applyNumberFormat="1" applyFont="1" applyBorder="1" applyAlignment="1">
      <alignment horizontal="right"/>
    </xf>
    <xf numFmtId="3" fontId="3" fillId="0" borderId="56" xfId="0" applyNumberFormat="1" applyFont="1" applyBorder="1" applyAlignment="1" applyProtection="1">
      <alignment horizontal="right"/>
      <protection/>
    </xf>
    <xf numFmtId="3" fontId="3" fillId="0" borderId="56" xfId="0" applyNumberFormat="1" applyFont="1" applyBorder="1" applyAlignment="1">
      <alignment horizontal="right"/>
    </xf>
    <xf numFmtId="3" fontId="3" fillId="0" borderId="59" xfId="0" applyNumberFormat="1" applyFont="1" applyBorder="1" applyAlignment="1" applyProtection="1">
      <alignment horizontal="right"/>
      <protection/>
    </xf>
    <xf numFmtId="3" fontId="4" fillId="0" borderId="60" xfId="0" applyNumberFormat="1" applyFont="1" applyBorder="1" applyAlignment="1" applyProtection="1">
      <alignment horizontal="right"/>
      <protection/>
    </xf>
    <xf numFmtId="3" fontId="3" fillId="0" borderId="63" xfId="0" applyNumberFormat="1" applyFont="1" applyBorder="1" applyAlignment="1" applyProtection="1">
      <alignment horizontal="right"/>
      <protection/>
    </xf>
    <xf numFmtId="3" fontId="3" fillId="0" borderId="64" xfId="0" applyNumberFormat="1" applyFont="1" applyBorder="1" applyAlignment="1" applyProtection="1">
      <alignment horizontal="right"/>
      <protection/>
    </xf>
    <xf numFmtId="3" fontId="3" fillId="3" borderId="65" xfId="0" applyNumberFormat="1" applyFont="1" applyFill="1" applyBorder="1" applyAlignment="1" applyProtection="1">
      <alignment horizontal="right"/>
      <protection/>
    </xf>
    <xf numFmtId="3" fontId="3" fillId="3" borderId="66" xfId="0" applyNumberFormat="1" applyFont="1" applyFill="1" applyBorder="1" applyAlignment="1" applyProtection="1">
      <alignment horizontal="right"/>
      <protection/>
    </xf>
    <xf numFmtId="3" fontId="3" fillId="3" borderId="67" xfId="0" applyNumberFormat="1" applyFont="1" applyFill="1" applyBorder="1" applyAlignment="1" applyProtection="1">
      <alignment horizontal="right"/>
      <protection/>
    </xf>
    <xf numFmtId="9" fontId="3" fillId="3" borderId="61" xfId="21" applyNumberFormat="1" applyFont="1" applyFill="1" applyBorder="1" applyAlignment="1" applyProtection="1">
      <alignment horizontal="right"/>
      <protection/>
    </xf>
    <xf numFmtId="9" fontId="3" fillId="3" borderId="62" xfId="21" applyNumberFormat="1" applyFont="1" applyFill="1" applyBorder="1" applyAlignment="1" applyProtection="1">
      <alignment horizontal="right"/>
      <protection/>
    </xf>
    <xf numFmtId="9" fontId="3" fillId="3" borderId="68" xfId="21" applyNumberFormat="1" applyFont="1" applyFill="1" applyBorder="1" applyAlignment="1" applyProtection="1">
      <alignment horizontal="right"/>
      <protection/>
    </xf>
    <xf numFmtId="3" fontId="3" fillId="3" borderId="69" xfId="0" applyNumberFormat="1" applyFont="1" applyFill="1" applyBorder="1" applyAlignment="1" applyProtection="1">
      <alignment horizontal="right"/>
      <protection/>
    </xf>
    <xf numFmtId="9" fontId="3" fillId="3" borderId="70" xfId="21" applyNumberFormat="1" applyFont="1" applyFill="1" applyBorder="1" applyAlignment="1" applyProtection="1">
      <alignment horizontal="right"/>
      <protection/>
    </xf>
    <xf numFmtId="9" fontId="3" fillId="3" borderId="47" xfId="21" applyNumberFormat="1" applyFont="1" applyFill="1" applyBorder="1" applyAlignment="1" applyProtection="1">
      <alignment horizontal="right"/>
      <protection/>
    </xf>
    <xf numFmtId="3" fontId="3" fillId="3" borderId="71" xfId="0" applyNumberFormat="1" applyFont="1" applyFill="1" applyBorder="1" applyAlignment="1" applyProtection="1">
      <alignment horizontal="right"/>
      <protection/>
    </xf>
    <xf numFmtId="9" fontId="3" fillId="3" borderId="53" xfId="21" applyNumberFormat="1" applyFont="1" applyFill="1" applyBorder="1" applyAlignment="1" applyProtection="1">
      <alignment horizontal="right"/>
      <protection/>
    </xf>
    <xf numFmtId="3" fontId="3" fillId="3" borderId="72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horizontal="left"/>
    </xf>
    <xf numFmtId="0" fontId="3" fillId="0" borderId="73" xfId="0" applyFont="1" applyBorder="1" applyAlignment="1">
      <alignment horizontal="left"/>
    </xf>
    <xf numFmtId="0" fontId="3" fillId="0" borderId="74" xfId="0" applyFont="1" applyBorder="1" applyAlignment="1" applyProtection="1">
      <alignment horizontal="left"/>
      <protection/>
    </xf>
    <xf numFmtId="0" fontId="3" fillId="0" borderId="43" xfId="0" applyFont="1" applyBorder="1" applyAlignment="1" applyProtection="1">
      <alignment horizontal="left"/>
      <protection/>
    </xf>
    <xf numFmtId="0" fontId="3" fillId="0" borderId="75" xfId="0" applyFont="1" applyBorder="1" applyAlignment="1" applyProtection="1">
      <alignment horizontal="left"/>
      <protection/>
    </xf>
    <xf numFmtId="0" fontId="3" fillId="2" borderId="76" xfId="0" applyFont="1" applyFill="1" applyBorder="1" applyAlignment="1" applyProtection="1">
      <alignment horizontal="center" textRotation="90"/>
      <protection/>
    </xf>
    <xf numFmtId="3" fontId="8" fillId="0" borderId="77" xfId="0" applyNumberFormat="1" applyFont="1" applyBorder="1" applyAlignment="1" applyProtection="1">
      <alignment horizontal="right"/>
      <protection/>
    </xf>
    <xf numFmtId="3" fontId="8" fillId="0" borderId="78" xfId="0" applyNumberFormat="1" applyFont="1" applyBorder="1" applyAlignment="1" applyProtection="1">
      <alignment horizontal="right"/>
      <protection/>
    </xf>
    <xf numFmtId="3" fontId="3" fillId="0" borderId="78" xfId="0" applyNumberFormat="1" applyFont="1" applyBorder="1" applyAlignment="1" applyProtection="1">
      <alignment horizontal="right"/>
      <protection/>
    </xf>
    <xf numFmtId="3" fontId="3" fillId="0" borderId="78" xfId="0" applyNumberFormat="1" applyFont="1" applyBorder="1" applyAlignment="1">
      <alignment horizontal="right"/>
    </xf>
    <xf numFmtId="3" fontId="3" fillId="0" borderId="79" xfId="0" applyNumberFormat="1" applyFont="1" applyBorder="1" applyAlignment="1" applyProtection="1">
      <alignment horizontal="right"/>
      <protection/>
    </xf>
    <xf numFmtId="9" fontId="3" fillId="3" borderId="76" xfId="21" applyNumberFormat="1" applyFont="1" applyFill="1" applyBorder="1" applyAlignment="1" applyProtection="1">
      <alignment horizontal="right"/>
      <protection/>
    </xf>
    <xf numFmtId="3" fontId="3" fillId="3" borderId="80" xfId="0" applyNumberFormat="1" applyFont="1" applyFill="1" applyBorder="1" applyAlignment="1" applyProtection="1">
      <alignment horizontal="right"/>
      <protection/>
    </xf>
    <xf numFmtId="3" fontId="3" fillId="3" borderId="81" xfId="0" applyNumberFormat="1" applyFont="1" applyFill="1" applyBorder="1" applyAlignment="1" applyProtection="1">
      <alignment horizontal="right"/>
      <protection/>
    </xf>
    <xf numFmtId="3" fontId="3" fillId="3" borderId="82" xfId="0" applyNumberFormat="1" applyFont="1" applyFill="1" applyBorder="1" applyAlignment="1" applyProtection="1">
      <alignment horizontal="right"/>
      <protection/>
    </xf>
    <xf numFmtId="3" fontId="3" fillId="3" borderId="83" xfId="0" applyNumberFormat="1" applyFont="1" applyFill="1" applyBorder="1" applyAlignment="1" applyProtection="1">
      <alignment horizontal="right"/>
      <protection/>
    </xf>
    <xf numFmtId="3" fontId="3" fillId="0" borderId="77" xfId="0" applyNumberFormat="1" applyFont="1" applyBorder="1" applyAlignment="1" applyProtection="1">
      <alignment horizontal="right"/>
      <protection/>
    </xf>
    <xf numFmtId="3" fontId="4" fillId="0" borderId="78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3" fillId="2" borderId="2" xfId="0" applyFont="1" applyFill="1" applyBorder="1" applyAlignment="1" applyProtection="1">
      <alignment horizontal="center" textRotation="90"/>
      <protection/>
    </xf>
    <xf numFmtId="9" fontId="0" fillId="0" borderId="2" xfId="0" applyNumberFormat="1" applyBorder="1" applyAlignment="1">
      <alignment/>
    </xf>
    <xf numFmtId="0" fontId="18" fillId="2" borderId="18" xfId="0" applyFont="1" applyFill="1" applyBorder="1" applyAlignment="1" applyProtection="1">
      <alignment horizontal="center"/>
      <protection/>
    </xf>
    <xf numFmtId="0" fontId="18" fillId="2" borderId="18" xfId="0" applyFont="1" applyFill="1" applyBorder="1" applyAlignment="1" applyProtection="1">
      <alignment horizontal="center" textRotation="90"/>
      <protection/>
    </xf>
    <xf numFmtId="0" fontId="18" fillId="2" borderId="46" xfId="0" applyFont="1" applyFill="1" applyBorder="1" applyAlignment="1" applyProtection="1">
      <alignment horizontal="center" textRotation="90"/>
      <protection/>
    </xf>
    <xf numFmtId="0" fontId="18" fillId="3" borderId="18" xfId="0" applyFont="1" applyFill="1" applyBorder="1" applyAlignment="1" applyProtection="1">
      <alignment horizontal="center" textRotation="90"/>
      <protection/>
    </xf>
    <xf numFmtId="0" fontId="3" fillId="0" borderId="30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3" fillId="0" borderId="84" xfId="0" applyFont="1" applyBorder="1" applyAlignment="1" applyProtection="1">
      <alignment horizontal="left"/>
      <protection/>
    </xf>
    <xf numFmtId="0" fontId="3" fillId="0" borderId="56" xfId="0" applyFont="1" applyBorder="1" applyAlignment="1" applyProtection="1">
      <alignment horizontal="left"/>
      <protection/>
    </xf>
    <xf numFmtId="0" fontId="3" fillId="0" borderId="85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 vertical="center" textRotation="90"/>
      <protection/>
    </xf>
    <xf numFmtId="0" fontId="3" fillId="0" borderId="31" xfId="0" applyFont="1" applyBorder="1" applyAlignment="1" applyProtection="1">
      <alignment horizontal="center" vertical="center" textRotation="90"/>
      <protection/>
    </xf>
    <xf numFmtId="0" fontId="3" fillId="2" borderId="70" xfId="0" applyFont="1" applyFill="1" applyBorder="1" applyAlignment="1" applyProtection="1">
      <alignment horizontal="center" vertical="center"/>
      <protection/>
    </xf>
    <xf numFmtId="0" fontId="3" fillId="2" borderId="62" xfId="0" applyFont="1" applyFill="1" applyBorder="1" applyAlignment="1" applyProtection="1">
      <alignment horizontal="center" vertical="center"/>
      <protection/>
    </xf>
    <xf numFmtId="0" fontId="3" fillId="2" borderId="68" xfId="0" applyFont="1" applyFill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32" xfId="0" applyFont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86" xfId="0" applyFont="1" applyBorder="1" applyAlignment="1" applyProtection="1">
      <alignment horizontal="left"/>
      <protection/>
    </xf>
    <xf numFmtId="0" fontId="3" fillId="0" borderId="64" xfId="0" applyFont="1" applyBorder="1" applyAlignment="1" applyProtection="1">
      <alignment horizontal="left"/>
      <protection/>
    </xf>
    <xf numFmtId="0" fontId="3" fillId="0" borderId="87" xfId="0" applyFont="1" applyBorder="1" applyAlignment="1" applyProtection="1">
      <alignment horizontal="left"/>
      <protection/>
    </xf>
    <xf numFmtId="0" fontId="3" fillId="3" borderId="70" xfId="0" applyFont="1" applyFill="1" applyBorder="1" applyAlignment="1" applyProtection="1">
      <alignment horizontal="left"/>
      <protection/>
    </xf>
    <xf numFmtId="0" fontId="3" fillId="3" borderId="62" xfId="0" applyFont="1" applyFill="1" applyBorder="1" applyAlignment="1" applyProtection="1">
      <alignment horizontal="left"/>
      <protection/>
    </xf>
    <xf numFmtId="0" fontId="3" fillId="3" borderId="68" xfId="0" applyFont="1" applyFill="1" applyBorder="1" applyAlignment="1" applyProtection="1">
      <alignment horizontal="left"/>
      <protection/>
    </xf>
    <xf numFmtId="0" fontId="3" fillId="3" borderId="69" xfId="0" applyFont="1" applyFill="1" applyBorder="1" applyAlignment="1" applyProtection="1">
      <alignment horizontal="left"/>
      <protection/>
    </xf>
    <xf numFmtId="0" fontId="3" fillId="3" borderId="66" xfId="0" applyFont="1" applyFill="1" applyBorder="1" applyAlignment="1" applyProtection="1">
      <alignment horizontal="left"/>
      <protection/>
    </xf>
    <xf numFmtId="0" fontId="3" fillId="3" borderId="67" xfId="0" applyFont="1" applyFill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88" xfId="0" applyFont="1" applyBorder="1" applyAlignment="1" applyProtection="1">
      <alignment horizontal="left"/>
      <protection/>
    </xf>
    <xf numFmtId="0" fontId="3" fillId="0" borderId="89" xfId="0" applyFont="1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center" vertical="center" textRotation="90"/>
      <protection/>
    </xf>
    <xf numFmtId="0" fontId="3" fillId="0" borderId="34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3" fillId="0" borderId="51" xfId="0" applyFont="1" applyBorder="1" applyAlignment="1" applyProtection="1">
      <alignment horizontal="left"/>
      <protection/>
    </xf>
    <xf numFmtId="0" fontId="3" fillId="0" borderId="90" xfId="0" applyFont="1" applyBorder="1" applyAlignment="1" applyProtection="1">
      <alignment horizontal="left"/>
      <protection/>
    </xf>
    <xf numFmtId="0" fontId="3" fillId="0" borderId="91" xfId="0" applyFont="1" applyBorder="1" applyAlignment="1" applyProtection="1">
      <alignment horizontal="left"/>
      <protection/>
    </xf>
    <xf numFmtId="0" fontId="3" fillId="0" borderId="92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93" xfId="0" applyFont="1" applyBorder="1" applyAlignment="1" applyProtection="1">
      <alignment horizontal="left"/>
      <protection/>
    </xf>
    <xf numFmtId="0" fontId="3" fillId="0" borderId="39" xfId="0" applyFont="1" applyBorder="1" applyAlignment="1" applyProtection="1">
      <alignment horizontal="left"/>
      <protection/>
    </xf>
    <xf numFmtId="0" fontId="3" fillId="0" borderId="55" xfId="0" applyFont="1" applyBorder="1" applyAlignment="1" applyProtection="1">
      <alignment horizontal="left"/>
      <protection/>
    </xf>
    <xf numFmtId="0" fontId="3" fillId="0" borderId="94" xfId="0" applyFont="1" applyBorder="1" applyAlignment="1" applyProtection="1">
      <alignment horizontal="left"/>
      <protection/>
    </xf>
    <xf numFmtId="0" fontId="3" fillId="0" borderId="95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96" xfId="0" applyFont="1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center" vertical="center" textRotation="90"/>
      <protection/>
    </xf>
    <xf numFmtId="0" fontId="3" fillId="2" borderId="46" xfId="0" applyFont="1" applyFill="1" applyBorder="1" applyAlignment="1" applyProtection="1">
      <alignment horizontal="center" vertical="center"/>
      <protection/>
    </xf>
    <xf numFmtId="0" fontId="3" fillId="2" borderId="9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17" fontId="5" fillId="0" borderId="0" xfId="0" applyNumberFormat="1" applyFont="1" applyAlignment="1">
      <alignment horizontal="left"/>
    </xf>
    <xf numFmtId="0" fontId="3" fillId="2" borderId="98" xfId="0" applyFont="1" applyFill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 textRotation="90"/>
      <protection/>
    </xf>
    <xf numFmtId="0" fontId="3" fillId="0" borderId="99" xfId="0" applyFont="1" applyBorder="1" applyAlignment="1" applyProtection="1">
      <alignment horizontal="center" vertical="center" textRotation="90"/>
      <protection/>
    </xf>
    <xf numFmtId="0" fontId="3" fillId="0" borderId="48" xfId="0" applyFont="1" applyBorder="1" applyAlignment="1" applyProtection="1">
      <alignment horizontal="center" vertical="center" textRotation="90"/>
      <protection/>
    </xf>
    <xf numFmtId="0" fontId="3" fillId="3" borderId="46" xfId="0" applyFont="1" applyFill="1" applyBorder="1" applyAlignment="1" applyProtection="1">
      <alignment horizontal="left"/>
      <protection/>
    </xf>
    <xf numFmtId="0" fontId="3" fillId="3" borderId="97" xfId="0" applyFont="1" applyFill="1" applyBorder="1" applyAlignment="1" applyProtection="1">
      <alignment horizontal="left"/>
      <protection/>
    </xf>
    <xf numFmtId="0" fontId="3" fillId="3" borderId="98" xfId="0" applyFont="1" applyFill="1" applyBorder="1" applyAlignment="1" applyProtection="1">
      <alignment horizontal="left"/>
      <protection/>
    </xf>
    <xf numFmtId="0" fontId="3" fillId="3" borderId="100" xfId="0" applyFont="1" applyFill="1" applyBorder="1" applyAlignment="1" applyProtection="1">
      <alignment horizontal="left"/>
      <protection/>
    </xf>
    <xf numFmtId="0" fontId="3" fillId="3" borderId="101" xfId="0" applyFont="1" applyFill="1" applyBorder="1" applyAlignment="1" applyProtection="1">
      <alignment horizontal="left"/>
      <protection/>
    </xf>
    <xf numFmtId="0" fontId="3" fillId="3" borderId="102" xfId="0" applyFont="1" applyFill="1" applyBorder="1" applyAlignment="1" applyProtection="1">
      <alignment horizontal="left"/>
      <protection/>
    </xf>
    <xf numFmtId="0" fontId="3" fillId="2" borderId="103" xfId="0" applyFont="1" applyFill="1" applyBorder="1" applyAlignment="1" applyProtection="1">
      <alignment horizontal="center" vertical="center"/>
      <protection/>
    </xf>
    <xf numFmtId="0" fontId="3" fillId="2" borderId="104" xfId="0" applyFont="1" applyFill="1" applyBorder="1" applyAlignment="1" applyProtection="1">
      <alignment horizontal="center" vertical="center"/>
      <protection/>
    </xf>
    <xf numFmtId="0" fontId="18" fillId="2" borderId="46" xfId="0" applyFont="1" applyFill="1" applyBorder="1" applyAlignment="1" applyProtection="1">
      <alignment horizontal="center" vertical="center"/>
      <protection/>
    </xf>
    <xf numFmtId="0" fontId="18" fillId="2" borderId="97" xfId="0" applyFont="1" applyFill="1" applyBorder="1" applyAlignment="1" applyProtection="1">
      <alignment horizontal="center" vertical="center"/>
      <protection/>
    </xf>
    <xf numFmtId="0" fontId="18" fillId="2" borderId="98" xfId="0" applyFont="1" applyFill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>
      <alignment horizontal="left"/>
      <protection/>
    </xf>
    <xf numFmtId="0" fontId="3" fillId="0" borderId="105" xfId="0" applyFont="1" applyBorder="1" applyAlignment="1" applyProtection="1">
      <alignment horizontal="left"/>
      <protection/>
    </xf>
    <xf numFmtId="0" fontId="3" fillId="2" borderId="46" xfId="0" applyFont="1" applyFill="1" applyBorder="1" applyAlignment="1" applyProtection="1">
      <alignment horizontal="left"/>
      <protection/>
    </xf>
    <xf numFmtId="0" fontId="3" fillId="2" borderId="97" xfId="0" applyFont="1" applyFill="1" applyBorder="1" applyAlignment="1" applyProtection="1">
      <alignment horizontal="left"/>
      <protection/>
    </xf>
    <xf numFmtId="0" fontId="3" fillId="2" borderId="98" xfId="0" applyFont="1" applyFill="1" applyBorder="1" applyAlignment="1" applyProtection="1">
      <alignment horizontal="left"/>
      <protection/>
    </xf>
    <xf numFmtId="0" fontId="3" fillId="2" borderId="106" xfId="0" applyFont="1" applyFill="1" applyBorder="1" applyAlignment="1" applyProtection="1">
      <alignment horizontal="center" vertical="center" textRotation="90"/>
      <protection/>
    </xf>
    <xf numFmtId="0" fontId="3" fillId="2" borderId="38" xfId="0" applyFont="1" applyFill="1" applyBorder="1" applyAlignment="1" applyProtection="1">
      <alignment horizontal="center" vertical="center" textRotation="90"/>
      <protection/>
    </xf>
    <xf numFmtId="0" fontId="3" fillId="2" borderId="14" xfId="0" applyFont="1" applyFill="1" applyBorder="1" applyAlignment="1" applyProtection="1">
      <alignment horizontal="center" vertical="center" textRotation="90"/>
      <protection/>
    </xf>
    <xf numFmtId="0" fontId="3" fillId="2" borderId="100" xfId="0" applyFont="1" applyFill="1" applyBorder="1" applyAlignment="1" applyProtection="1">
      <alignment horizontal="left"/>
      <protection/>
    </xf>
    <xf numFmtId="0" fontId="3" fillId="2" borderId="102" xfId="0" applyFont="1" applyFill="1" applyBorder="1" applyAlignment="1" applyProtection="1">
      <alignment horizontal="left"/>
      <protection/>
    </xf>
    <xf numFmtId="0" fontId="3" fillId="2" borderId="101" xfId="0" applyFont="1" applyFill="1" applyBorder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CUMPLIMIENTO VUELOS NACIONALES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FEB!#REF!</c:f>
              <c:numCache>
                <c:ptCount val="1"/>
                <c:pt idx="0">
                  <c:v>1</c:v>
                </c:pt>
              </c:numCache>
            </c:numRef>
          </c:val>
        </c:ser>
        <c:axId val="52558597"/>
        <c:axId val="3265326"/>
      </c:barChart>
      <c:catAx>
        <c:axId val="525585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265326"/>
        <c:crosses val="autoZero"/>
        <c:auto val="1"/>
        <c:lblOffset val="100"/>
        <c:noMultiLvlLbl val="0"/>
      </c:catAx>
      <c:valAx>
        <c:axId val="32653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525585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CUMPLIMIENTO DE VUELOS NACIONALES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597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'ACUM '!$E$29:$I$29</c:f>
              <c:strCache>
                <c:ptCount val="5"/>
                <c:pt idx="0">
                  <c:v>ADA</c:v>
                </c:pt>
                <c:pt idx="1">
                  <c:v>AEROREP</c:v>
                </c:pt>
                <c:pt idx="2">
                  <c:v>AIRES</c:v>
                </c:pt>
                <c:pt idx="3">
                  <c:v>AVIANCA</c:v>
                </c:pt>
                <c:pt idx="4">
                  <c:v>SAM</c:v>
                </c:pt>
              </c:strCache>
            </c:strRef>
          </c:cat>
          <c:val>
            <c:numRef>
              <c:f>'ACUM '!$E$30:$I$30</c:f>
              <c:numCache>
                <c:ptCount val="5"/>
                <c:pt idx="0">
                  <c:v>0.8210468208962713</c:v>
                </c:pt>
                <c:pt idx="1">
                  <c:v>0.8743127616967049</c:v>
                </c:pt>
                <c:pt idx="2">
                  <c:v>0.8702172944612186</c:v>
                </c:pt>
                <c:pt idx="3">
                  <c:v>0.926899664147775</c:v>
                </c:pt>
                <c:pt idx="4">
                  <c:v>0.900268174240777</c:v>
                </c:pt>
              </c:numCache>
            </c:numRef>
          </c:val>
        </c:ser>
        <c:overlap val="100"/>
        <c:gapWidth val="70"/>
        <c:axId val="29387935"/>
        <c:axId val="63164824"/>
      </c:barChart>
      <c:catAx>
        <c:axId val="293879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64824"/>
        <c:crosses val="autoZero"/>
        <c:auto val="1"/>
        <c:lblOffset val="100"/>
        <c:noMultiLvlLbl val="0"/>
      </c:catAx>
      <c:valAx>
        <c:axId val="63164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879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0</xdr:rowOff>
    </xdr:from>
    <xdr:to>
      <xdr:col>4</xdr:col>
      <xdr:colOff>581025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8100" y="5495925"/>
        <a:ext cx="426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19050</xdr:rowOff>
    </xdr:from>
    <xdr:to>
      <xdr:col>3</xdr:col>
      <xdr:colOff>704850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38100" y="5476875"/>
        <a:ext cx="35337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5" sqref="I5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35.421875" style="0" customWidth="1"/>
    <col min="4" max="4" width="12.421875" style="0" bestFit="1" customWidth="1"/>
    <col min="5" max="9" width="7.00390625" style="0" bestFit="1" customWidth="1"/>
    <col min="10" max="10" width="8.00390625" style="0" bestFit="1" customWidth="1"/>
  </cols>
  <sheetData>
    <row r="1" spans="1:10" ht="17.25">
      <c r="A1" s="153" t="s">
        <v>25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">
      <c r="A2" s="154" t="s">
        <v>27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5.75" thickBot="1">
      <c r="A3" s="154" t="s">
        <v>26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57.75" thickBot="1">
      <c r="A4" s="79" t="s">
        <v>0</v>
      </c>
      <c r="B4" s="161" t="s">
        <v>1</v>
      </c>
      <c r="C4" s="162"/>
      <c r="D4" s="163"/>
      <c r="E4" s="103" t="s">
        <v>28</v>
      </c>
      <c r="F4" s="104" t="s">
        <v>29</v>
      </c>
      <c r="G4" s="104" t="s">
        <v>3</v>
      </c>
      <c r="H4" s="104" t="s">
        <v>2</v>
      </c>
      <c r="I4" s="130" t="s">
        <v>30</v>
      </c>
      <c r="J4" s="53" t="s">
        <v>4</v>
      </c>
    </row>
    <row r="5" spans="1:10" ht="13.5">
      <c r="A5" s="96">
        <v>1</v>
      </c>
      <c r="B5" s="164" t="s">
        <v>5</v>
      </c>
      <c r="C5" s="165"/>
      <c r="D5" s="166"/>
      <c r="E5" s="98">
        <v>1551</v>
      </c>
      <c r="F5" s="95">
        <v>2468</v>
      </c>
      <c r="G5" s="95">
        <v>2929</v>
      </c>
      <c r="H5" s="95">
        <v>5096</v>
      </c>
      <c r="I5" s="131">
        <v>2229</v>
      </c>
      <c r="J5" s="138">
        <f aca="true" t="shared" si="0" ref="J5:J25">SUM(E5:I5)</f>
        <v>14273</v>
      </c>
    </row>
    <row r="6" spans="1:10" ht="13.5">
      <c r="A6" s="97">
        <f>A5+1</f>
        <v>2</v>
      </c>
      <c r="B6" s="151" t="s">
        <v>6</v>
      </c>
      <c r="C6" s="152"/>
      <c r="D6" s="150"/>
      <c r="E6" s="99">
        <v>15</v>
      </c>
      <c r="F6" s="9"/>
      <c r="G6" s="9">
        <v>8</v>
      </c>
      <c r="H6" s="9">
        <v>28</v>
      </c>
      <c r="I6" s="132">
        <v>32</v>
      </c>
      <c r="J6" s="139">
        <f t="shared" si="0"/>
        <v>83</v>
      </c>
    </row>
    <row r="7" spans="1:10" ht="13.5">
      <c r="A7" s="97">
        <f aca="true" t="shared" si="1" ref="A7:A27">A6+1</f>
        <v>3</v>
      </c>
      <c r="B7" s="151" t="s">
        <v>20</v>
      </c>
      <c r="C7" s="152"/>
      <c r="D7" s="150"/>
      <c r="E7" s="100">
        <f>SUM(E5:E6)</f>
        <v>1566</v>
      </c>
      <c r="F7" s="41">
        <f>SUM(F5:F6)</f>
        <v>2468</v>
      </c>
      <c r="G7" s="41">
        <f>SUM(G5:G6)</f>
        <v>2937</v>
      </c>
      <c r="H7" s="41">
        <f>SUM(H5:H6)</f>
        <v>5124</v>
      </c>
      <c r="I7" s="133">
        <f>SUM(I5:I6)</f>
        <v>2261</v>
      </c>
      <c r="J7" s="139">
        <f t="shared" si="0"/>
        <v>14356</v>
      </c>
    </row>
    <row r="8" spans="1:10" ht="13.5">
      <c r="A8" s="97">
        <f t="shared" si="1"/>
        <v>4</v>
      </c>
      <c r="B8" s="159" t="s">
        <v>7</v>
      </c>
      <c r="C8" s="152" t="s">
        <v>8</v>
      </c>
      <c r="D8" s="150"/>
      <c r="E8" s="99">
        <v>40</v>
      </c>
      <c r="F8" s="9">
        <v>5</v>
      </c>
      <c r="G8" s="9"/>
      <c r="H8" s="9"/>
      <c r="I8" s="132"/>
      <c r="J8" s="139">
        <f t="shared" si="0"/>
        <v>45</v>
      </c>
    </row>
    <row r="9" spans="1:10" ht="13.5">
      <c r="A9" s="97">
        <f t="shared" si="1"/>
        <v>5</v>
      </c>
      <c r="B9" s="159"/>
      <c r="C9" s="152" t="s">
        <v>9</v>
      </c>
      <c r="D9" s="150"/>
      <c r="E9" s="99">
        <v>20</v>
      </c>
      <c r="F9" s="9">
        <v>22</v>
      </c>
      <c r="G9" s="9">
        <v>7</v>
      </c>
      <c r="H9" s="9">
        <v>43</v>
      </c>
      <c r="I9" s="132">
        <v>23</v>
      </c>
      <c r="J9" s="139">
        <f t="shared" si="0"/>
        <v>115</v>
      </c>
    </row>
    <row r="10" spans="1:10" ht="13.5">
      <c r="A10" s="97">
        <f t="shared" si="1"/>
        <v>6</v>
      </c>
      <c r="B10" s="159"/>
      <c r="C10" s="152" t="s">
        <v>10</v>
      </c>
      <c r="D10" s="150"/>
      <c r="E10" s="99">
        <v>9</v>
      </c>
      <c r="F10" s="9">
        <v>6</v>
      </c>
      <c r="G10" s="9">
        <v>85</v>
      </c>
      <c r="H10" s="9">
        <v>85</v>
      </c>
      <c r="I10" s="132">
        <v>51</v>
      </c>
      <c r="J10" s="139">
        <f t="shared" si="0"/>
        <v>236</v>
      </c>
    </row>
    <row r="11" spans="1:10" ht="13.5">
      <c r="A11" s="97">
        <f t="shared" si="1"/>
        <v>7</v>
      </c>
      <c r="B11" s="159"/>
      <c r="C11" s="152" t="s">
        <v>11</v>
      </c>
      <c r="D11" s="150"/>
      <c r="E11" s="99"/>
      <c r="F11" s="9">
        <v>1</v>
      </c>
      <c r="G11" s="9">
        <v>1</v>
      </c>
      <c r="H11" s="9">
        <v>17</v>
      </c>
      <c r="I11" s="132">
        <v>6</v>
      </c>
      <c r="J11" s="139">
        <f t="shared" si="0"/>
        <v>25</v>
      </c>
    </row>
    <row r="12" spans="1:10" ht="13.5">
      <c r="A12" s="97">
        <f t="shared" si="1"/>
        <v>8</v>
      </c>
      <c r="B12" s="159"/>
      <c r="C12" s="152" t="s">
        <v>12</v>
      </c>
      <c r="D12" s="150"/>
      <c r="E12" s="101">
        <f>E8+E9</f>
        <v>60</v>
      </c>
      <c r="F12" s="93">
        <f>F8+F9</f>
        <v>27</v>
      </c>
      <c r="G12" s="93">
        <f>G8+G9</f>
        <v>7</v>
      </c>
      <c r="H12" s="93">
        <f>H8+H9</f>
        <v>43</v>
      </c>
      <c r="I12" s="134">
        <f>I8+I9</f>
        <v>23</v>
      </c>
      <c r="J12" s="139">
        <f t="shared" si="0"/>
        <v>160</v>
      </c>
    </row>
    <row r="13" spans="1:10" ht="13.5">
      <c r="A13" s="97">
        <f t="shared" si="1"/>
        <v>9</v>
      </c>
      <c r="B13" s="159"/>
      <c r="C13" s="152" t="s">
        <v>13</v>
      </c>
      <c r="D13" s="150"/>
      <c r="E13" s="101">
        <f>E10+E11</f>
        <v>9</v>
      </c>
      <c r="F13" s="93">
        <f>F10+F11</f>
        <v>7</v>
      </c>
      <c r="G13" s="93">
        <f>G10+G11</f>
        <v>86</v>
      </c>
      <c r="H13" s="93">
        <f>H10+H11</f>
        <v>102</v>
      </c>
      <c r="I13" s="134">
        <f>I10+I11</f>
        <v>57</v>
      </c>
      <c r="J13" s="139">
        <f t="shared" si="0"/>
        <v>261</v>
      </c>
    </row>
    <row r="14" spans="1:10" ht="13.5">
      <c r="A14" s="97">
        <f t="shared" si="1"/>
        <v>10</v>
      </c>
      <c r="B14" s="159" t="s">
        <v>14</v>
      </c>
      <c r="C14" s="92" t="s">
        <v>15</v>
      </c>
      <c r="D14" s="102" t="s">
        <v>16</v>
      </c>
      <c r="E14" s="99"/>
      <c r="F14" s="9">
        <v>4</v>
      </c>
      <c r="G14" s="9"/>
      <c r="H14" s="9"/>
      <c r="I14" s="132"/>
      <c r="J14" s="139">
        <f t="shared" si="0"/>
        <v>4</v>
      </c>
    </row>
    <row r="15" spans="1:10" ht="13.5">
      <c r="A15" s="97">
        <f t="shared" si="1"/>
        <v>11</v>
      </c>
      <c r="B15" s="159"/>
      <c r="C15" s="94"/>
      <c r="D15" s="102" t="s">
        <v>17</v>
      </c>
      <c r="E15" s="99"/>
      <c r="F15" s="9">
        <v>94</v>
      </c>
      <c r="G15" s="9"/>
      <c r="H15" s="9"/>
      <c r="I15" s="132"/>
      <c r="J15" s="139">
        <f t="shared" si="0"/>
        <v>94</v>
      </c>
    </row>
    <row r="16" spans="1:10" ht="13.5">
      <c r="A16" s="97">
        <f t="shared" si="1"/>
        <v>12</v>
      </c>
      <c r="B16" s="159"/>
      <c r="C16" s="92" t="s">
        <v>9</v>
      </c>
      <c r="D16" s="102" t="s">
        <v>16</v>
      </c>
      <c r="E16" s="99">
        <v>308</v>
      </c>
      <c r="F16" s="9">
        <v>247</v>
      </c>
      <c r="G16" s="9">
        <v>462</v>
      </c>
      <c r="H16" s="9">
        <v>379</v>
      </c>
      <c r="I16" s="132">
        <v>179</v>
      </c>
      <c r="J16" s="139">
        <f t="shared" si="0"/>
        <v>1575</v>
      </c>
    </row>
    <row r="17" spans="1:10" ht="13.5">
      <c r="A17" s="97">
        <f t="shared" si="1"/>
        <v>13</v>
      </c>
      <c r="B17" s="159"/>
      <c r="C17" s="94"/>
      <c r="D17" s="102" t="s">
        <v>17</v>
      </c>
      <c r="E17" s="99">
        <v>29132</v>
      </c>
      <c r="F17" s="9">
        <v>10471</v>
      </c>
      <c r="G17" s="9">
        <v>27660</v>
      </c>
      <c r="H17" s="9">
        <v>17229</v>
      </c>
      <c r="I17" s="132">
        <v>10027</v>
      </c>
      <c r="J17" s="139">
        <f t="shared" si="0"/>
        <v>94519</v>
      </c>
    </row>
    <row r="18" spans="1:10" ht="13.5">
      <c r="A18" s="97">
        <f t="shared" si="1"/>
        <v>14</v>
      </c>
      <c r="B18" s="159"/>
      <c r="C18" s="92" t="s">
        <v>10</v>
      </c>
      <c r="D18" s="102" t="s">
        <v>16</v>
      </c>
      <c r="E18" s="99">
        <v>206</v>
      </c>
      <c r="F18" s="9">
        <v>100</v>
      </c>
      <c r="G18" s="9">
        <v>277</v>
      </c>
      <c r="H18" s="9">
        <v>172</v>
      </c>
      <c r="I18" s="132">
        <v>108</v>
      </c>
      <c r="J18" s="139">
        <f t="shared" si="0"/>
        <v>863</v>
      </c>
    </row>
    <row r="19" spans="1:10" ht="13.5">
      <c r="A19" s="97">
        <f t="shared" si="1"/>
        <v>15</v>
      </c>
      <c r="B19" s="159"/>
      <c r="C19" s="94"/>
      <c r="D19" s="102" t="s">
        <v>17</v>
      </c>
      <c r="E19" s="99">
        <v>18463</v>
      </c>
      <c r="F19" s="9">
        <v>6454</v>
      </c>
      <c r="G19" s="9">
        <v>18960</v>
      </c>
      <c r="H19" s="9">
        <v>10261</v>
      </c>
      <c r="I19" s="132">
        <v>4680</v>
      </c>
      <c r="J19" s="139">
        <f t="shared" si="0"/>
        <v>58818</v>
      </c>
    </row>
    <row r="20" spans="1:10" ht="13.5">
      <c r="A20" s="97">
        <f t="shared" si="1"/>
        <v>16</v>
      </c>
      <c r="B20" s="159"/>
      <c r="C20" s="92" t="s">
        <v>11</v>
      </c>
      <c r="D20" s="102" t="s">
        <v>16</v>
      </c>
      <c r="E20" s="99">
        <v>46</v>
      </c>
      <c r="F20" s="9">
        <v>111</v>
      </c>
      <c r="G20" s="9">
        <v>28</v>
      </c>
      <c r="H20" s="9">
        <v>74</v>
      </c>
      <c r="I20" s="132">
        <v>20</v>
      </c>
      <c r="J20" s="139">
        <f t="shared" si="0"/>
        <v>279</v>
      </c>
    </row>
    <row r="21" spans="1:10" ht="13.5">
      <c r="A21" s="97">
        <f t="shared" si="1"/>
        <v>17</v>
      </c>
      <c r="B21" s="159"/>
      <c r="C21" s="94"/>
      <c r="D21" s="102" t="s">
        <v>17</v>
      </c>
      <c r="E21" s="99">
        <v>1323</v>
      </c>
      <c r="F21" s="9">
        <v>3813</v>
      </c>
      <c r="G21" s="9">
        <v>1020</v>
      </c>
      <c r="H21" s="9">
        <v>2522</v>
      </c>
      <c r="I21" s="132">
        <v>960</v>
      </c>
      <c r="J21" s="139">
        <f t="shared" si="0"/>
        <v>9638</v>
      </c>
    </row>
    <row r="22" spans="1:10" ht="13.5">
      <c r="A22" s="97">
        <f t="shared" si="1"/>
        <v>18</v>
      </c>
      <c r="B22" s="159"/>
      <c r="C22" s="152" t="s">
        <v>18</v>
      </c>
      <c r="D22" s="150"/>
      <c r="E22" s="100">
        <f aca="true" t="shared" si="2" ref="E22:I23">E14+E16+E18+E20</f>
        <v>560</v>
      </c>
      <c r="F22" s="41">
        <f t="shared" si="2"/>
        <v>462</v>
      </c>
      <c r="G22" s="41">
        <f t="shared" si="2"/>
        <v>767</v>
      </c>
      <c r="H22" s="41">
        <f t="shared" si="2"/>
        <v>625</v>
      </c>
      <c r="I22" s="133">
        <f t="shared" si="2"/>
        <v>307</v>
      </c>
      <c r="J22" s="139">
        <f t="shared" si="0"/>
        <v>2721</v>
      </c>
    </row>
    <row r="23" spans="1:10" ht="14.25" thickBot="1">
      <c r="A23" s="97">
        <f t="shared" si="1"/>
        <v>19</v>
      </c>
      <c r="B23" s="160"/>
      <c r="C23" s="167" t="s">
        <v>19</v>
      </c>
      <c r="D23" s="168"/>
      <c r="E23" s="100">
        <f t="shared" si="2"/>
        <v>48918</v>
      </c>
      <c r="F23" s="41">
        <f t="shared" si="2"/>
        <v>20832</v>
      </c>
      <c r="G23" s="41">
        <f t="shared" si="2"/>
        <v>47640</v>
      </c>
      <c r="H23" s="41">
        <f t="shared" si="2"/>
        <v>30012</v>
      </c>
      <c r="I23" s="133">
        <f t="shared" si="2"/>
        <v>15667</v>
      </c>
      <c r="J23" s="139">
        <f t="shared" si="0"/>
        <v>163069</v>
      </c>
    </row>
    <row r="24" spans="1:10" ht="13.5">
      <c r="A24" s="97">
        <f t="shared" si="1"/>
        <v>20</v>
      </c>
      <c r="B24" s="156" t="s">
        <v>21</v>
      </c>
      <c r="C24" s="157"/>
      <c r="D24" s="158"/>
      <c r="E24" s="100">
        <f>E7-E12</f>
        <v>1506</v>
      </c>
      <c r="F24" s="41">
        <f>F7-F12</f>
        <v>2441</v>
      </c>
      <c r="G24" s="41">
        <f>G7-G12</f>
        <v>2930</v>
      </c>
      <c r="H24" s="41">
        <f>H7-H12</f>
        <v>5081</v>
      </c>
      <c r="I24" s="133">
        <f>I7-I12</f>
        <v>2238</v>
      </c>
      <c r="J24" s="139">
        <f t="shared" si="0"/>
        <v>14196</v>
      </c>
    </row>
    <row r="25" spans="1:10" ht="14.25" thickBot="1">
      <c r="A25" s="97">
        <f t="shared" si="1"/>
        <v>21</v>
      </c>
      <c r="B25" s="169" t="s">
        <v>22</v>
      </c>
      <c r="C25" s="170"/>
      <c r="D25" s="171"/>
      <c r="E25" s="111">
        <f>E24-E22-E13</f>
        <v>937</v>
      </c>
      <c r="F25" s="112">
        <f>F24-F22-F13</f>
        <v>1972</v>
      </c>
      <c r="G25" s="112">
        <f>G24-G22-G13</f>
        <v>2077</v>
      </c>
      <c r="H25" s="112">
        <f>H24-H22-H13</f>
        <v>4354</v>
      </c>
      <c r="I25" s="135">
        <f>I24-I22-I13</f>
        <v>1874</v>
      </c>
      <c r="J25" s="140">
        <f t="shared" si="0"/>
        <v>11214</v>
      </c>
    </row>
    <row r="26" spans="1:10" ht="14.25" thickBot="1">
      <c r="A26" s="97">
        <f t="shared" si="1"/>
        <v>22</v>
      </c>
      <c r="B26" s="172" t="s">
        <v>23</v>
      </c>
      <c r="C26" s="173"/>
      <c r="D26" s="174"/>
      <c r="E26" s="116">
        <f aca="true" t="shared" si="3" ref="E26:J26">IF(E24=0,0,(E25+E16)/E24)</f>
        <v>0.8266932270916335</v>
      </c>
      <c r="F26" s="117">
        <f t="shared" si="3"/>
        <v>0.9090536665301107</v>
      </c>
      <c r="G26" s="117">
        <f t="shared" si="3"/>
        <v>0.8665529010238908</v>
      </c>
      <c r="H26" s="117">
        <f t="shared" si="3"/>
        <v>0.9315095453650856</v>
      </c>
      <c r="I26" s="136">
        <f t="shared" si="3"/>
        <v>0.91733690795353</v>
      </c>
      <c r="J26" s="31">
        <f t="shared" si="3"/>
        <v>0.900887573964497</v>
      </c>
    </row>
    <row r="27" spans="1:10" ht="14.25" thickBot="1">
      <c r="A27" s="97">
        <f t="shared" si="1"/>
        <v>23</v>
      </c>
      <c r="B27" s="175" t="s">
        <v>24</v>
      </c>
      <c r="C27" s="176"/>
      <c r="D27" s="177"/>
      <c r="E27" s="113">
        <f aca="true" t="shared" si="4" ref="E27:J27">+E23/E22</f>
        <v>87.35357142857143</v>
      </c>
      <c r="F27" s="114">
        <f t="shared" si="4"/>
        <v>45.09090909090909</v>
      </c>
      <c r="G27" s="114">
        <f t="shared" si="4"/>
        <v>62.11212516297262</v>
      </c>
      <c r="H27" s="114">
        <f t="shared" si="4"/>
        <v>48.0192</v>
      </c>
      <c r="I27" s="137">
        <f t="shared" si="4"/>
        <v>51.03257328990228</v>
      </c>
      <c r="J27" s="27">
        <f t="shared" si="4"/>
        <v>59.92980521866961</v>
      </c>
    </row>
    <row r="28" spans="1:10" ht="13.5">
      <c r="A28" s="1"/>
      <c r="B28" s="1"/>
      <c r="C28" s="1"/>
      <c r="D28" s="1"/>
      <c r="E28" s="2"/>
      <c r="F28" s="2"/>
      <c r="G28" s="2"/>
      <c r="H28" s="2"/>
      <c r="I28" s="2"/>
      <c r="J28" s="2"/>
    </row>
    <row r="33" ht="12.75">
      <c r="D33">
        <f>D32+1</f>
        <v>1</v>
      </c>
    </row>
  </sheetData>
  <mergeCells count="21">
    <mergeCell ref="C23:D23"/>
    <mergeCell ref="B25:D25"/>
    <mergeCell ref="B26:D26"/>
    <mergeCell ref="B27:D27"/>
    <mergeCell ref="B4:D4"/>
    <mergeCell ref="B5:D5"/>
    <mergeCell ref="B6:D6"/>
    <mergeCell ref="B8:B13"/>
    <mergeCell ref="C8:D8"/>
    <mergeCell ref="C9:D9"/>
    <mergeCell ref="C10:D10"/>
    <mergeCell ref="A1:J1"/>
    <mergeCell ref="A2:J2"/>
    <mergeCell ref="A3:J3"/>
    <mergeCell ref="B24:D24"/>
    <mergeCell ref="B7:D7"/>
    <mergeCell ref="C11:D11"/>
    <mergeCell ref="C12:D12"/>
    <mergeCell ref="C13:D13"/>
    <mergeCell ref="B14:B23"/>
    <mergeCell ref="C22:D22"/>
  </mergeCells>
  <printOptions/>
  <pageMargins left="0.75" right="0.75" top="1" bottom="1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E21" sqref="E21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35.421875" style="0" customWidth="1"/>
    <col min="4" max="4" width="12.421875" style="0" bestFit="1" customWidth="1"/>
    <col min="5" max="7" width="7.00390625" style="0" bestFit="1" customWidth="1"/>
    <col min="8" max="8" width="8.00390625" style="0" bestFit="1" customWidth="1"/>
    <col min="9" max="9" width="7.00390625" style="0" bestFit="1" customWidth="1"/>
    <col min="10" max="10" width="8.00390625" style="0" bestFit="1" customWidth="1"/>
    <col min="11" max="11" width="8.7109375" style="0" customWidth="1"/>
  </cols>
  <sheetData>
    <row r="1" spans="1:10" ht="17.25">
      <c r="A1" s="153" t="s">
        <v>25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">
      <c r="A2" s="154" t="s">
        <v>27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5.75" thickBot="1">
      <c r="A3" s="201" t="s">
        <v>39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57.75" thickBot="1">
      <c r="A4" s="87" t="s">
        <v>0</v>
      </c>
      <c r="B4" s="212" t="s">
        <v>1</v>
      </c>
      <c r="C4" s="213"/>
      <c r="D4" s="213"/>
      <c r="E4" s="61" t="s">
        <v>28</v>
      </c>
      <c r="F4" s="60" t="s">
        <v>29</v>
      </c>
      <c r="G4" s="60" t="s">
        <v>3</v>
      </c>
      <c r="H4" s="60" t="s">
        <v>2</v>
      </c>
      <c r="I4" s="88" t="s">
        <v>30</v>
      </c>
      <c r="J4" s="53" t="s">
        <v>4</v>
      </c>
    </row>
    <row r="5" spans="1:10" ht="14.25" thickTop="1">
      <c r="A5" s="78">
        <v>1</v>
      </c>
      <c r="B5" s="192" t="s">
        <v>5</v>
      </c>
      <c r="C5" s="193"/>
      <c r="D5" s="194"/>
      <c r="E5" s="81">
        <v>1817</v>
      </c>
      <c r="F5" s="10">
        <v>2311</v>
      </c>
      <c r="G5" s="59">
        <v>4025</v>
      </c>
      <c r="H5" s="59">
        <v>4947</v>
      </c>
      <c r="I5" s="83">
        <v>2507</v>
      </c>
      <c r="J5" s="54">
        <f aca="true" t="shared" si="0" ref="J5:J25">SUM(E5:I5)</f>
        <v>15607</v>
      </c>
    </row>
    <row r="6" spans="1:10" ht="13.5">
      <c r="A6" s="17">
        <f>A5+1</f>
        <v>2</v>
      </c>
      <c r="B6" s="195" t="s">
        <v>6</v>
      </c>
      <c r="C6" s="196"/>
      <c r="D6" s="186"/>
      <c r="E6" s="74">
        <v>31</v>
      </c>
      <c r="F6" s="3"/>
      <c r="G6" s="4">
        <v>22</v>
      </c>
      <c r="H6" s="4">
        <v>19</v>
      </c>
      <c r="I6" s="84">
        <v>7</v>
      </c>
      <c r="J6" s="54">
        <f t="shared" si="0"/>
        <v>79</v>
      </c>
    </row>
    <row r="7" spans="1:10" ht="13.5">
      <c r="A7" s="17">
        <f aca="true" t="shared" si="1" ref="A7:A27">A6+1</f>
        <v>3</v>
      </c>
      <c r="B7" s="195" t="s">
        <v>20</v>
      </c>
      <c r="C7" s="196"/>
      <c r="D7" s="186"/>
      <c r="E7" s="74">
        <f>SUM(E5:E6)</f>
        <v>1848</v>
      </c>
      <c r="F7" s="3">
        <f>SUM(F5:F6)</f>
        <v>2311</v>
      </c>
      <c r="G7" s="3">
        <f>SUM(G5:G6)</f>
        <v>4047</v>
      </c>
      <c r="H7" s="3">
        <f>SUM(H5:H6)</f>
        <v>4966</v>
      </c>
      <c r="I7" s="84">
        <f>SUM(I5:I6)</f>
        <v>2514</v>
      </c>
      <c r="J7" s="54">
        <f t="shared" si="0"/>
        <v>15686</v>
      </c>
    </row>
    <row r="8" spans="1:10" ht="13.5">
      <c r="A8" s="17">
        <f t="shared" si="1"/>
        <v>4</v>
      </c>
      <c r="B8" s="182" t="s">
        <v>7</v>
      </c>
      <c r="C8" s="185" t="s">
        <v>8</v>
      </c>
      <c r="D8" s="186"/>
      <c r="E8" s="75">
        <v>48</v>
      </c>
      <c r="F8" s="5"/>
      <c r="G8" s="6">
        <v>16</v>
      </c>
      <c r="H8" s="6"/>
      <c r="I8" s="85"/>
      <c r="J8" s="54">
        <f t="shared" si="0"/>
        <v>64</v>
      </c>
    </row>
    <row r="9" spans="1:10" ht="13.5">
      <c r="A9" s="17">
        <f t="shared" si="1"/>
        <v>5</v>
      </c>
      <c r="B9" s="183"/>
      <c r="C9" s="185" t="s">
        <v>9</v>
      </c>
      <c r="D9" s="186"/>
      <c r="E9" s="74">
        <v>25</v>
      </c>
      <c r="F9" s="5">
        <v>27</v>
      </c>
      <c r="G9" s="6">
        <v>89</v>
      </c>
      <c r="H9" s="6">
        <v>126</v>
      </c>
      <c r="I9" s="85">
        <v>88</v>
      </c>
      <c r="J9" s="54">
        <f t="shared" si="0"/>
        <v>355</v>
      </c>
    </row>
    <row r="10" spans="1:10" ht="13.5">
      <c r="A10" s="17">
        <f t="shared" si="1"/>
        <v>6</v>
      </c>
      <c r="B10" s="183"/>
      <c r="C10" s="185" t="s">
        <v>10</v>
      </c>
      <c r="D10" s="186"/>
      <c r="E10" s="74">
        <v>17</v>
      </c>
      <c r="F10" s="5">
        <v>39</v>
      </c>
      <c r="G10" s="6">
        <v>44</v>
      </c>
      <c r="H10" s="6">
        <v>47</v>
      </c>
      <c r="I10" s="85">
        <v>66</v>
      </c>
      <c r="J10" s="54">
        <f t="shared" si="0"/>
        <v>213</v>
      </c>
    </row>
    <row r="11" spans="1:10" ht="13.5">
      <c r="A11" s="17">
        <f t="shared" si="1"/>
        <v>7</v>
      </c>
      <c r="B11" s="183"/>
      <c r="C11" s="185" t="s">
        <v>11</v>
      </c>
      <c r="D11" s="186"/>
      <c r="E11" s="74"/>
      <c r="F11" s="5">
        <v>5</v>
      </c>
      <c r="G11" s="6"/>
      <c r="H11" s="6">
        <v>10</v>
      </c>
      <c r="I11" s="85"/>
      <c r="J11" s="54">
        <f t="shared" si="0"/>
        <v>15</v>
      </c>
    </row>
    <row r="12" spans="1:10" ht="13.5">
      <c r="A12" s="17">
        <f t="shared" si="1"/>
        <v>8</v>
      </c>
      <c r="B12" s="183"/>
      <c r="C12" s="185" t="s">
        <v>12</v>
      </c>
      <c r="D12" s="186"/>
      <c r="E12" s="76">
        <f>E8+E9</f>
        <v>73</v>
      </c>
      <c r="F12" s="4">
        <f>F8+F9</f>
        <v>27</v>
      </c>
      <c r="G12" s="4">
        <f>G8+G9</f>
        <v>105</v>
      </c>
      <c r="H12" s="4">
        <f>H8+H9</f>
        <v>126</v>
      </c>
      <c r="I12" s="86">
        <f>I8+I9</f>
        <v>88</v>
      </c>
      <c r="J12" s="54">
        <f t="shared" si="0"/>
        <v>419</v>
      </c>
    </row>
    <row r="13" spans="1:10" ht="13.5">
      <c r="A13" s="17">
        <f t="shared" si="1"/>
        <v>9</v>
      </c>
      <c r="B13" s="197"/>
      <c r="C13" s="185" t="s">
        <v>13</v>
      </c>
      <c r="D13" s="186"/>
      <c r="E13" s="76">
        <f>E10+E11</f>
        <v>17</v>
      </c>
      <c r="F13" s="4">
        <f>F10+F11</f>
        <v>44</v>
      </c>
      <c r="G13" s="4">
        <f>G10+G11</f>
        <v>44</v>
      </c>
      <c r="H13" s="4">
        <f>H10+H11</f>
        <v>57</v>
      </c>
      <c r="I13" s="86">
        <f>I10+I11</f>
        <v>66</v>
      </c>
      <c r="J13" s="54">
        <f t="shared" si="0"/>
        <v>228</v>
      </c>
    </row>
    <row r="14" spans="1:10" ht="13.5">
      <c r="A14" s="17">
        <f t="shared" si="1"/>
        <v>10</v>
      </c>
      <c r="B14" s="182" t="s">
        <v>14</v>
      </c>
      <c r="C14" s="7" t="s">
        <v>15</v>
      </c>
      <c r="D14" s="77" t="s">
        <v>16</v>
      </c>
      <c r="E14" s="74"/>
      <c r="F14" s="3">
        <v>2</v>
      </c>
      <c r="G14" s="4"/>
      <c r="H14" s="4"/>
      <c r="I14" s="84"/>
      <c r="J14" s="54">
        <f t="shared" si="0"/>
        <v>2</v>
      </c>
    </row>
    <row r="15" spans="1:10" ht="13.5">
      <c r="A15" s="17">
        <f t="shared" si="1"/>
        <v>11</v>
      </c>
      <c r="B15" s="183"/>
      <c r="C15" s="8"/>
      <c r="D15" s="77" t="s">
        <v>17</v>
      </c>
      <c r="E15" s="74"/>
      <c r="F15" s="4">
        <v>49</v>
      </c>
      <c r="G15" s="4"/>
      <c r="H15" s="4"/>
      <c r="I15" s="86"/>
      <c r="J15" s="54">
        <f t="shared" si="0"/>
        <v>49</v>
      </c>
    </row>
    <row r="16" spans="1:10" ht="13.5">
      <c r="A16" s="17">
        <f t="shared" si="1"/>
        <v>12</v>
      </c>
      <c r="B16" s="183"/>
      <c r="C16" s="7" t="s">
        <v>9</v>
      </c>
      <c r="D16" s="77" t="s">
        <v>16</v>
      </c>
      <c r="E16" s="74">
        <v>500</v>
      </c>
      <c r="F16" s="3">
        <v>429</v>
      </c>
      <c r="G16" s="4">
        <v>1441</v>
      </c>
      <c r="H16" s="4">
        <v>922</v>
      </c>
      <c r="I16" s="84">
        <v>475</v>
      </c>
      <c r="J16" s="54">
        <f t="shared" si="0"/>
        <v>3767</v>
      </c>
    </row>
    <row r="17" spans="1:10" ht="13.5">
      <c r="A17" s="17">
        <f t="shared" si="1"/>
        <v>13</v>
      </c>
      <c r="B17" s="183"/>
      <c r="C17" s="8"/>
      <c r="D17" s="77" t="s">
        <v>17</v>
      </c>
      <c r="E17" s="74">
        <f>689.55*60</f>
        <v>41373</v>
      </c>
      <c r="F17" s="3">
        <f>340.02*60</f>
        <v>20401.199999999997</v>
      </c>
      <c r="G17" s="4">
        <f>978*60</f>
        <v>58680</v>
      </c>
      <c r="H17" s="4">
        <f>829.2*60</f>
        <v>49752</v>
      </c>
      <c r="I17" s="86">
        <f>628.09*60</f>
        <v>37685.4</v>
      </c>
      <c r="J17" s="54">
        <f t="shared" si="0"/>
        <v>207891.6</v>
      </c>
    </row>
    <row r="18" spans="1:10" ht="13.5">
      <c r="A18" s="17">
        <f t="shared" si="1"/>
        <v>14</v>
      </c>
      <c r="B18" s="183"/>
      <c r="C18" s="7" t="s">
        <v>10</v>
      </c>
      <c r="D18" s="77" t="s">
        <v>16</v>
      </c>
      <c r="E18" s="74">
        <v>201</v>
      </c>
      <c r="F18" s="3">
        <v>134</v>
      </c>
      <c r="G18" s="4">
        <v>317</v>
      </c>
      <c r="H18" s="4">
        <v>217</v>
      </c>
      <c r="I18" s="84">
        <v>186</v>
      </c>
      <c r="J18" s="54">
        <f t="shared" si="0"/>
        <v>1055</v>
      </c>
    </row>
    <row r="19" spans="1:10" ht="13.5">
      <c r="A19" s="17">
        <f t="shared" si="1"/>
        <v>15</v>
      </c>
      <c r="B19" s="183"/>
      <c r="C19" s="8"/>
      <c r="D19" s="77" t="s">
        <v>17</v>
      </c>
      <c r="E19" s="74">
        <f>241.87*60</f>
        <v>14512.2</v>
      </c>
      <c r="F19" s="4">
        <f>145.06*60</f>
        <v>8703.6</v>
      </c>
      <c r="G19" s="4">
        <f>272*60</f>
        <v>16320</v>
      </c>
      <c r="H19" s="4">
        <f>2118*60</f>
        <v>127080</v>
      </c>
      <c r="I19" s="86">
        <f>220.7*60</f>
        <v>13242</v>
      </c>
      <c r="J19" s="54">
        <f t="shared" si="0"/>
        <v>179857.8</v>
      </c>
    </row>
    <row r="20" spans="1:10" ht="13.5">
      <c r="A20" s="17">
        <f t="shared" si="1"/>
        <v>16</v>
      </c>
      <c r="B20" s="183"/>
      <c r="C20" s="7" t="s">
        <v>11</v>
      </c>
      <c r="D20" s="77" t="s">
        <v>16</v>
      </c>
      <c r="E20" s="74">
        <v>45</v>
      </c>
      <c r="F20" s="3">
        <v>113</v>
      </c>
      <c r="G20" s="4">
        <v>190</v>
      </c>
      <c r="H20" s="4">
        <v>81</v>
      </c>
      <c r="I20" s="84">
        <v>31</v>
      </c>
      <c r="J20" s="54">
        <f t="shared" si="0"/>
        <v>460</v>
      </c>
    </row>
    <row r="21" spans="1:10" ht="13.5">
      <c r="A21" s="17">
        <f t="shared" si="1"/>
        <v>17</v>
      </c>
      <c r="B21" s="183"/>
      <c r="C21" s="8"/>
      <c r="D21" s="77" t="s">
        <v>17</v>
      </c>
      <c r="E21" s="74">
        <f>42.02*60</f>
        <v>2521.2000000000003</v>
      </c>
      <c r="F21" s="4">
        <f>48.48*60</f>
        <v>2908.7999999999997</v>
      </c>
      <c r="G21" s="4">
        <f>67*60</f>
        <v>4020</v>
      </c>
      <c r="H21" s="4">
        <f>88.1*60</f>
        <v>5286</v>
      </c>
      <c r="I21" s="86">
        <f>23*60</f>
        <v>1380</v>
      </c>
      <c r="J21" s="54">
        <f t="shared" si="0"/>
        <v>16116</v>
      </c>
    </row>
    <row r="22" spans="1:10" ht="13.5">
      <c r="A22" s="17">
        <f t="shared" si="1"/>
        <v>18</v>
      </c>
      <c r="B22" s="183"/>
      <c r="C22" s="185" t="s">
        <v>18</v>
      </c>
      <c r="D22" s="186"/>
      <c r="E22" s="74">
        <f aca="true" t="shared" si="2" ref="E22:I23">E14+E16+E18+E20</f>
        <v>746</v>
      </c>
      <c r="F22" s="3">
        <f t="shared" si="2"/>
        <v>678</v>
      </c>
      <c r="G22" s="3">
        <f t="shared" si="2"/>
        <v>1948</v>
      </c>
      <c r="H22" s="3">
        <f t="shared" si="2"/>
        <v>1220</v>
      </c>
      <c r="I22" s="84">
        <f t="shared" si="2"/>
        <v>692</v>
      </c>
      <c r="J22" s="54">
        <f t="shared" si="0"/>
        <v>5284</v>
      </c>
    </row>
    <row r="23" spans="1:10" ht="14.25" thickBot="1">
      <c r="A23" s="17">
        <f t="shared" si="1"/>
        <v>19</v>
      </c>
      <c r="B23" s="184"/>
      <c r="C23" s="187" t="s">
        <v>19</v>
      </c>
      <c r="D23" s="188"/>
      <c r="E23" s="74">
        <f t="shared" si="2"/>
        <v>58406.399999999994</v>
      </c>
      <c r="F23" s="3">
        <f t="shared" si="2"/>
        <v>32062.599999999995</v>
      </c>
      <c r="G23" s="3">
        <f t="shared" si="2"/>
        <v>79020</v>
      </c>
      <c r="H23" s="3">
        <f t="shared" si="2"/>
        <v>182118</v>
      </c>
      <c r="I23" s="84">
        <f t="shared" si="2"/>
        <v>52307.4</v>
      </c>
      <c r="J23" s="54">
        <f t="shared" si="0"/>
        <v>403914.4</v>
      </c>
    </row>
    <row r="24" spans="1:10" ht="13.5">
      <c r="A24" s="17">
        <f t="shared" si="1"/>
        <v>20</v>
      </c>
      <c r="B24" s="189" t="s">
        <v>21</v>
      </c>
      <c r="C24" s="190"/>
      <c r="D24" s="191"/>
      <c r="E24" s="74">
        <f>E7-E12</f>
        <v>1775</v>
      </c>
      <c r="F24" s="3">
        <f>F7-F12</f>
        <v>2284</v>
      </c>
      <c r="G24" s="3">
        <f>G7-G12</f>
        <v>3942</v>
      </c>
      <c r="H24" s="3">
        <f>H7-H12</f>
        <v>4840</v>
      </c>
      <c r="I24" s="84">
        <f>I7-I12</f>
        <v>2426</v>
      </c>
      <c r="J24" s="54">
        <f t="shared" si="0"/>
        <v>15267</v>
      </c>
    </row>
    <row r="25" spans="1:10" ht="14.25" thickBot="1">
      <c r="A25" s="17">
        <f t="shared" si="1"/>
        <v>21</v>
      </c>
      <c r="B25" s="179" t="s">
        <v>22</v>
      </c>
      <c r="C25" s="180"/>
      <c r="D25" s="181"/>
      <c r="E25" s="82">
        <f>E24-E22-E13</f>
        <v>1012</v>
      </c>
      <c r="F25" s="15">
        <f>F24-F22-F13</f>
        <v>1562</v>
      </c>
      <c r="G25" s="15">
        <f>G24-G22-G13</f>
        <v>1950</v>
      </c>
      <c r="H25" s="15">
        <f>H24-H22-H13</f>
        <v>3563</v>
      </c>
      <c r="I25" s="89">
        <f>I24-I22-I13</f>
        <v>1668</v>
      </c>
      <c r="J25" s="55">
        <f t="shared" si="0"/>
        <v>9755</v>
      </c>
    </row>
    <row r="26" spans="1:10" ht="14.25" thickBot="1">
      <c r="A26" s="17">
        <f t="shared" si="1"/>
        <v>22</v>
      </c>
      <c r="B26" s="206" t="s">
        <v>23</v>
      </c>
      <c r="C26" s="207"/>
      <c r="D26" s="208"/>
      <c r="E26" s="121">
        <f aca="true" t="shared" si="3" ref="E26:J26">IF(E24=0,0,(E25+E16)/E24)</f>
        <v>0.851830985915493</v>
      </c>
      <c r="F26" s="29">
        <f t="shared" si="3"/>
        <v>0.8717162872154116</v>
      </c>
      <c r="G26" s="29">
        <f t="shared" si="3"/>
        <v>0.8602232369355657</v>
      </c>
      <c r="H26" s="29">
        <f t="shared" si="3"/>
        <v>0.9266528925619835</v>
      </c>
      <c r="I26" s="123">
        <f t="shared" si="3"/>
        <v>0.8833470733718054</v>
      </c>
      <c r="J26" s="31">
        <f t="shared" si="3"/>
        <v>0.885701185563634</v>
      </c>
    </row>
    <row r="27" spans="1:10" ht="14.25" thickBot="1">
      <c r="A27" s="17">
        <f t="shared" si="1"/>
        <v>23</v>
      </c>
      <c r="B27" s="209" t="s">
        <v>24</v>
      </c>
      <c r="C27" s="210"/>
      <c r="D27" s="211"/>
      <c r="E27" s="122">
        <f aca="true" t="shared" si="4" ref="E27:J27">+E23/E22</f>
        <v>78.29276139410187</v>
      </c>
      <c r="F27" s="25">
        <f t="shared" si="4"/>
        <v>47.28997050147492</v>
      </c>
      <c r="G27" s="25">
        <f t="shared" si="4"/>
        <v>40.564681724846</v>
      </c>
      <c r="H27" s="25">
        <f t="shared" si="4"/>
        <v>149.27704918032788</v>
      </c>
      <c r="I27" s="124">
        <f t="shared" si="4"/>
        <v>75.58872832369943</v>
      </c>
      <c r="J27" s="27">
        <f t="shared" si="4"/>
        <v>76.44102952308857</v>
      </c>
    </row>
    <row r="28" spans="1:10" ht="13.5">
      <c r="A28" s="1"/>
      <c r="B28" s="1"/>
      <c r="C28" s="1"/>
      <c r="D28" s="1"/>
      <c r="E28" s="2"/>
      <c r="F28" s="2"/>
      <c r="G28" s="2"/>
      <c r="H28" s="2"/>
      <c r="I28" s="2"/>
      <c r="J28" s="2"/>
    </row>
  </sheetData>
  <mergeCells count="21">
    <mergeCell ref="A1:J1"/>
    <mergeCell ref="A2:J2"/>
    <mergeCell ref="A3:J3"/>
    <mergeCell ref="B4:D4"/>
    <mergeCell ref="B5:D5"/>
    <mergeCell ref="B6:D6"/>
    <mergeCell ref="B7:D7"/>
    <mergeCell ref="B8:B13"/>
    <mergeCell ref="C8:D8"/>
    <mergeCell ref="C9:D9"/>
    <mergeCell ref="C10:D10"/>
    <mergeCell ref="C11:D11"/>
    <mergeCell ref="C12:D12"/>
    <mergeCell ref="C13:D13"/>
    <mergeCell ref="B25:D25"/>
    <mergeCell ref="B26:D26"/>
    <mergeCell ref="B27:D27"/>
    <mergeCell ref="B14:B23"/>
    <mergeCell ref="C22:D22"/>
    <mergeCell ref="C23:D23"/>
    <mergeCell ref="B24:D24"/>
  </mergeCells>
  <printOptions/>
  <pageMargins left="0.75" right="0.75" top="1" bottom="1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G28" sqref="G28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35.421875" style="0" customWidth="1"/>
    <col min="4" max="4" width="12.421875" style="0" bestFit="1" customWidth="1"/>
    <col min="5" max="10" width="8.8515625" style="0" bestFit="1" customWidth="1"/>
  </cols>
  <sheetData>
    <row r="1" spans="1:10" ht="17.25">
      <c r="A1" s="153" t="s">
        <v>25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">
      <c r="A2" s="154" t="s">
        <v>27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5.75" thickBot="1">
      <c r="A3" s="201" t="s">
        <v>40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57.75" thickBot="1">
      <c r="A4" s="79" t="s">
        <v>0</v>
      </c>
      <c r="B4" s="161" t="s">
        <v>1</v>
      </c>
      <c r="C4" s="162"/>
      <c r="D4" s="163"/>
      <c r="E4" s="103" t="s">
        <v>28</v>
      </c>
      <c r="F4" s="104" t="s">
        <v>29</v>
      </c>
      <c r="G4" s="104" t="s">
        <v>3</v>
      </c>
      <c r="H4" s="104" t="s">
        <v>2</v>
      </c>
      <c r="I4" s="130" t="s">
        <v>30</v>
      </c>
      <c r="J4" s="53" t="s">
        <v>4</v>
      </c>
    </row>
    <row r="5" spans="1:10" ht="13.5">
      <c r="A5" s="96">
        <v>1</v>
      </c>
      <c r="B5" s="156" t="s">
        <v>5</v>
      </c>
      <c r="C5" s="157"/>
      <c r="D5" s="158"/>
      <c r="E5" s="109">
        <v>1824</v>
      </c>
      <c r="F5" s="107">
        <v>2182</v>
      </c>
      <c r="G5" s="108">
        <v>3945</v>
      </c>
      <c r="H5" s="108">
        <v>4656</v>
      </c>
      <c r="I5" s="141">
        <v>2497</v>
      </c>
      <c r="J5" s="138">
        <f aca="true" t="shared" si="0" ref="J5:J25">SUM(E5:I5)</f>
        <v>15104</v>
      </c>
    </row>
    <row r="6" spans="1:10" ht="13.5">
      <c r="A6" s="97">
        <f>A5+1</f>
        <v>2</v>
      </c>
      <c r="B6" s="151" t="s">
        <v>6</v>
      </c>
      <c r="C6" s="152"/>
      <c r="D6" s="150"/>
      <c r="E6" s="100">
        <v>46</v>
      </c>
      <c r="F6" s="41"/>
      <c r="G6" s="93">
        <v>18</v>
      </c>
      <c r="H6" s="93">
        <v>18</v>
      </c>
      <c r="I6" s="133">
        <v>1</v>
      </c>
      <c r="J6" s="139">
        <f t="shared" si="0"/>
        <v>83</v>
      </c>
    </row>
    <row r="7" spans="1:10" ht="13.5">
      <c r="A7" s="97">
        <f aca="true" t="shared" si="1" ref="A7:A27">A6+1</f>
        <v>3</v>
      </c>
      <c r="B7" s="151" t="s">
        <v>20</v>
      </c>
      <c r="C7" s="152"/>
      <c r="D7" s="150"/>
      <c r="E7" s="100">
        <f>SUM(E5:E6)</f>
        <v>1870</v>
      </c>
      <c r="F7" s="41">
        <f>SUM(F5:F6)</f>
        <v>2182</v>
      </c>
      <c r="G7" s="41">
        <f>SUM(G5:G6)</f>
        <v>3963</v>
      </c>
      <c r="H7" s="41">
        <f>SUM(H5:H6)</f>
        <v>4674</v>
      </c>
      <c r="I7" s="133">
        <f>SUM(I5:I6)</f>
        <v>2498</v>
      </c>
      <c r="J7" s="139">
        <f t="shared" si="0"/>
        <v>15187</v>
      </c>
    </row>
    <row r="8" spans="1:10" ht="13.5">
      <c r="A8" s="97">
        <f t="shared" si="1"/>
        <v>4</v>
      </c>
      <c r="B8" s="159" t="s">
        <v>7</v>
      </c>
      <c r="C8" s="152" t="s">
        <v>8</v>
      </c>
      <c r="D8" s="150"/>
      <c r="E8" s="110">
        <v>42</v>
      </c>
      <c r="F8" s="105"/>
      <c r="G8" s="106">
        <v>12</v>
      </c>
      <c r="H8" s="106"/>
      <c r="I8" s="142"/>
      <c r="J8" s="139">
        <f t="shared" si="0"/>
        <v>54</v>
      </c>
    </row>
    <row r="9" spans="1:10" ht="13.5">
      <c r="A9" s="97">
        <f t="shared" si="1"/>
        <v>5</v>
      </c>
      <c r="B9" s="159"/>
      <c r="C9" s="152" t="s">
        <v>9</v>
      </c>
      <c r="D9" s="150"/>
      <c r="E9" s="100">
        <v>32</v>
      </c>
      <c r="F9" s="105">
        <v>20</v>
      </c>
      <c r="G9" s="106">
        <v>48</v>
      </c>
      <c r="H9" s="106">
        <v>98</v>
      </c>
      <c r="I9" s="142">
        <v>59</v>
      </c>
      <c r="J9" s="139">
        <f t="shared" si="0"/>
        <v>257</v>
      </c>
    </row>
    <row r="10" spans="1:10" ht="13.5">
      <c r="A10" s="97">
        <f t="shared" si="1"/>
        <v>6</v>
      </c>
      <c r="B10" s="159"/>
      <c r="C10" s="152" t="s">
        <v>10</v>
      </c>
      <c r="D10" s="150"/>
      <c r="E10" s="100">
        <v>13</v>
      </c>
      <c r="F10" s="105">
        <v>26</v>
      </c>
      <c r="G10" s="106">
        <v>46</v>
      </c>
      <c r="H10" s="106">
        <v>38</v>
      </c>
      <c r="I10" s="142">
        <v>39</v>
      </c>
      <c r="J10" s="139">
        <f t="shared" si="0"/>
        <v>162</v>
      </c>
    </row>
    <row r="11" spans="1:10" ht="13.5">
      <c r="A11" s="97">
        <f t="shared" si="1"/>
        <v>7</v>
      </c>
      <c r="B11" s="159"/>
      <c r="C11" s="152" t="s">
        <v>11</v>
      </c>
      <c r="D11" s="150"/>
      <c r="E11" s="100">
        <v>9</v>
      </c>
      <c r="F11" s="105"/>
      <c r="G11" s="106">
        <v>4</v>
      </c>
      <c r="H11" s="106">
        <v>2</v>
      </c>
      <c r="I11" s="142">
        <v>7</v>
      </c>
      <c r="J11" s="139">
        <f t="shared" si="0"/>
        <v>22</v>
      </c>
    </row>
    <row r="12" spans="1:10" ht="13.5">
      <c r="A12" s="97">
        <f t="shared" si="1"/>
        <v>8</v>
      </c>
      <c r="B12" s="159"/>
      <c r="C12" s="152" t="s">
        <v>12</v>
      </c>
      <c r="D12" s="150"/>
      <c r="E12" s="101">
        <f>E8+E9</f>
        <v>74</v>
      </c>
      <c r="F12" s="93">
        <f>F8+F9</f>
        <v>20</v>
      </c>
      <c r="G12" s="93">
        <f>G8+G9</f>
        <v>60</v>
      </c>
      <c r="H12" s="93">
        <f>H8+H9</f>
        <v>98</v>
      </c>
      <c r="I12" s="134">
        <f>I8+I9</f>
        <v>59</v>
      </c>
      <c r="J12" s="139">
        <f t="shared" si="0"/>
        <v>311</v>
      </c>
    </row>
    <row r="13" spans="1:10" ht="13.5">
      <c r="A13" s="97">
        <f t="shared" si="1"/>
        <v>9</v>
      </c>
      <c r="B13" s="159"/>
      <c r="C13" s="152" t="s">
        <v>13</v>
      </c>
      <c r="D13" s="150"/>
      <c r="E13" s="101">
        <f>E10+E11</f>
        <v>22</v>
      </c>
      <c r="F13" s="93">
        <f>F10+F11</f>
        <v>26</v>
      </c>
      <c r="G13" s="93">
        <f>G10+G11</f>
        <v>50</v>
      </c>
      <c r="H13" s="93">
        <f>H10+H11</f>
        <v>40</v>
      </c>
      <c r="I13" s="134">
        <f>I10+I11</f>
        <v>46</v>
      </c>
      <c r="J13" s="139">
        <f t="shared" si="0"/>
        <v>184</v>
      </c>
    </row>
    <row r="14" spans="1:10" ht="13.5">
      <c r="A14" s="97">
        <f t="shared" si="1"/>
        <v>10</v>
      </c>
      <c r="B14" s="159" t="s">
        <v>14</v>
      </c>
      <c r="C14" s="92" t="s">
        <v>15</v>
      </c>
      <c r="D14" s="102" t="s">
        <v>16</v>
      </c>
      <c r="E14" s="100"/>
      <c r="F14" s="41">
        <v>1</v>
      </c>
      <c r="G14" s="93"/>
      <c r="H14" s="93"/>
      <c r="I14" s="133"/>
      <c r="J14" s="139">
        <f t="shared" si="0"/>
        <v>1</v>
      </c>
    </row>
    <row r="15" spans="1:10" ht="13.5">
      <c r="A15" s="97">
        <f t="shared" si="1"/>
        <v>11</v>
      </c>
      <c r="B15" s="159"/>
      <c r="C15" s="94"/>
      <c r="D15" s="102" t="s">
        <v>17</v>
      </c>
      <c r="E15" s="100"/>
      <c r="F15" s="93">
        <v>19</v>
      </c>
      <c r="G15" s="93"/>
      <c r="H15" s="93"/>
      <c r="I15" s="134"/>
      <c r="J15" s="139">
        <f t="shared" si="0"/>
        <v>19</v>
      </c>
    </row>
    <row r="16" spans="1:10" ht="13.5">
      <c r="A16" s="97">
        <f t="shared" si="1"/>
        <v>12</v>
      </c>
      <c r="B16" s="159"/>
      <c r="C16" s="92" t="s">
        <v>9</v>
      </c>
      <c r="D16" s="102" t="s">
        <v>16</v>
      </c>
      <c r="E16" s="100">
        <v>307</v>
      </c>
      <c r="F16" s="41">
        <v>339</v>
      </c>
      <c r="G16" s="93">
        <v>1278</v>
      </c>
      <c r="H16" s="93">
        <v>660</v>
      </c>
      <c r="I16" s="133">
        <v>416</v>
      </c>
      <c r="J16" s="139">
        <f t="shared" si="0"/>
        <v>3000</v>
      </c>
    </row>
    <row r="17" spans="1:10" ht="13.5">
      <c r="A17" s="97">
        <f t="shared" si="1"/>
        <v>13</v>
      </c>
      <c r="B17" s="159"/>
      <c r="C17" s="94"/>
      <c r="D17" s="102" t="s">
        <v>17</v>
      </c>
      <c r="E17" s="100">
        <f>386*60</f>
        <v>23160</v>
      </c>
      <c r="F17" s="41">
        <f>254*60</f>
        <v>15240</v>
      </c>
      <c r="G17" s="93">
        <f>679*60</f>
        <v>40740</v>
      </c>
      <c r="H17" s="93">
        <f>588*60</f>
        <v>35280</v>
      </c>
      <c r="I17" s="134">
        <f>526*60</f>
        <v>31560</v>
      </c>
      <c r="J17" s="139">
        <f t="shared" si="0"/>
        <v>145980</v>
      </c>
    </row>
    <row r="18" spans="1:10" ht="13.5">
      <c r="A18" s="97">
        <f t="shared" si="1"/>
        <v>14</v>
      </c>
      <c r="B18" s="159"/>
      <c r="C18" s="92" t="s">
        <v>10</v>
      </c>
      <c r="D18" s="102" t="s">
        <v>16</v>
      </c>
      <c r="E18" s="100">
        <v>237</v>
      </c>
      <c r="F18" s="41">
        <v>127</v>
      </c>
      <c r="G18" s="93">
        <v>462</v>
      </c>
      <c r="H18" s="93">
        <v>227</v>
      </c>
      <c r="I18" s="133">
        <v>163</v>
      </c>
      <c r="J18" s="139">
        <f t="shared" si="0"/>
        <v>1216</v>
      </c>
    </row>
    <row r="19" spans="1:10" ht="13.5">
      <c r="A19" s="97">
        <f t="shared" si="1"/>
        <v>15</v>
      </c>
      <c r="B19" s="159"/>
      <c r="C19" s="94"/>
      <c r="D19" s="102" t="s">
        <v>17</v>
      </c>
      <c r="E19" s="100">
        <f>357*60</f>
        <v>21420</v>
      </c>
      <c r="F19" s="93">
        <f>112*60</f>
        <v>6720</v>
      </c>
      <c r="G19" s="93">
        <f>323*60</f>
        <v>19380</v>
      </c>
      <c r="H19" s="93">
        <f>261*60</f>
        <v>15660</v>
      </c>
      <c r="I19" s="134">
        <f>229*60</f>
        <v>13740</v>
      </c>
      <c r="J19" s="139">
        <f t="shared" si="0"/>
        <v>76920</v>
      </c>
    </row>
    <row r="20" spans="1:10" ht="13.5">
      <c r="A20" s="97">
        <f t="shared" si="1"/>
        <v>16</v>
      </c>
      <c r="B20" s="159"/>
      <c r="C20" s="92" t="s">
        <v>11</v>
      </c>
      <c r="D20" s="102" t="s">
        <v>16</v>
      </c>
      <c r="E20" s="100">
        <v>73</v>
      </c>
      <c r="F20" s="41">
        <v>135</v>
      </c>
      <c r="G20" s="93">
        <v>243</v>
      </c>
      <c r="H20" s="93">
        <v>126</v>
      </c>
      <c r="I20" s="133">
        <v>47</v>
      </c>
      <c r="J20" s="139">
        <f t="shared" si="0"/>
        <v>624</v>
      </c>
    </row>
    <row r="21" spans="1:10" ht="13.5">
      <c r="A21" s="97">
        <f t="shared" si="1"/>
        <v>17</v>
      </c>
      <c r="B21" s="159"/>
      <c r="C21" s="94"/>
      <c r="D21" s="102" t="s">
        <v>17</v>
      </c>
      <c r="E21" s="100">
        <f>58*60</f>
        <v>3480</v>
      </c>
      <c r="F21" s="93">
        <f>62*60</f>
        <v>3720</v>
      </c>
      <c r="G21" s="93">
        <f>74*60</f>
        <v>4440</v>
      </c>
      <c r="H21" s="93">
        <f>121*60</f>
        <v>7260</v>
      </c>
      <c r="I21" s="134">
        <f>33*60</f>
        <v>1980</v>
      </c>
      <c r="J21" s="139">
        <f t="shared" si="0"/>
        <v>20880</v>
      </c>
    </row>
    <row r="22" spans="1:10" ht="13.5">
      <c r="A22" s="97">
        <f t="shared" si="1"/>
        <v>18</v>
      </c>
      <c r="B22" s="159"/>
      <c r="C22" s="152" t="s">
        <v>18</v>
      </c>
      <c r="D22" s="150"/>
      <c r="E22" s="100">
        <f aca="true" t="shared" si="2" ref="E22:I23">E14+E16+E18+E20</f>
        <v>617</v>
      </c>
      <c r="F22" s="41">
        <f t="shared" si="2"/>
        <v>602</v>
      </c>
      <c r="G22" s="41">
        <f t="shared" si="2"/>
        <v>1983</v>
      </c>
      <c r="H22" s="41">
        <f t="shared" si="2"/>
        <v>1013</v>
      </c>
      <c r="I22" s="133">
        <f t="shared" si="2"/>
        <v>626</v>
      </c>
      <c r="J22" s="139">
        <f t="shared" si="0"/>
        <v>4841</v>
      </c>
    </row>
    <row r="23" spans="1:10" ht="14.25" thickBot="1">
      <c r="A23" s="97">
        <f t="shared" si="1"/>
        <v>19</v>
      </c>
      <c r="B23" s="160"/>
      <c r="C23" s="167" t="s">
        <v>19</v>
      </c>
      <c r="D23" s="168"/>
      <c r="E23" s="100">
        <f t="shared" si="2"/>
        <v>48060</v>
      </c>
      <c r="F23" s="41">
        <f t="shared" si="2"/>
        <v>25699</v>
      </c>
      <c r="G23" s="41">
        <f t="shared" si="2"/>
        <v>64560</v>
      </c>
      <c r="H23" s="41">
        <f t="shared" si="2"/>
        <v>58200</v>
      </c>
      <c r="I23" s="133">
        <f t="shared" si="2"/>
        <v>47280</v>
      </c>
      <c r="J23" s="139">
        <f t="shared" si="0"/>
        <v>243799</v>
      </c>
    </row>
    <row r="24" spans="1:10" ht="13.5">
      <c r="A24" s="97">
        <f t="shared" si="1"/>
        <v>20</v>
      </c>
      <c r="B24" s="164" t="s">
        <v>21</v>
      </c>
      <c r="C24" s="165"/>
      <c r="D24" s="166"/>
      <c r="E24" s="100">
        <f>E7-E12</f>
        <v>1796</v>
      </c>
      <c r="F24" s="41">
        <f>F7-F12</f>
        <v>2162</v>
      </c>
      <c r="G24" s="41">
        <f>G7-G12</f>
        <v>3903</v>
      </c>
      <c r="H24" s="41">
        <f>H7-H12</f>
        <v>4576</v>
      </c>
      <c r="I24" s="133">
        <f>I7-I12</f>
        <v>2439</v>
      </c>
      <c r="J24" s="139">
        <f t="shared" si="0"/>
        <v>14876</v>
      </c>
    </row>
    <row r="25" spans="1:10" ht="14.25" thickBot="1">
      <c r="A25" s="97">
        <f t="shared" si="1"/>
        <v>21</v>
      </c>
      <c r="B25" s="169" t="s">
        <v>22</v>
      </c>
      <c r="C25" s="170"/>
      <c r="D25" s="171"/>
      <c r="E25" s="111">
        <f>E24-E22-E13</f>
        <v>1157</v>
      </c>
      <c r="F25" s="112">
        <f>F24-F22-F13</f>
        <v>1534</v>
      </c>
      <c r="G25" s="112">
        <f>G24-G22-G13</f>
        <v>1870</v>
      </c>
      <c r="H25" s="112">
        <f>H24-H22-H13</f>
        <v>3523</v>
      </c>
      <c r="I25" s="135">
        <f>I24-I22-I13</f>
        <v>1767</v>
      </c>
      <c r="J25" s="140">
        <f t="shared" si="0"/>
        <v>9851</v>
      </c>
    </row>
    <row r="26" spans="1:10" ht="14.25" thickBot="1">
      <c r="A26" s="97">
        <f t="shared" si="1"/>
        <v>22</v>
      </c>
      <c r="B26" s="172" t="s">
        <v>23</v>
      </c>
      <c r="C26" s="173"/>
      <c r="D26" s="174"/>
      <c r="E26" s="116">
        <f aca="true" t="shared" si="3" ref="E26:J26">IF(E24=0,0,(E25+E16)/E24)</f>
        <v>0.8151447661469933</v>
      </c>
      <c r="F26" s="117">
        <f t="shared" si="3"/>
        <v>0.866327474560592</v>
      </c>
      <c r="G26" s="117">
        <f t="shared" si="3"/>
        <v>0.8065590571355368</v>
      </c>
      <c r="H26" s="117">
        <f t="shared" si="3"/>
        <v>0.9141171328671329</v>
      </c>
      <c r="I26" s="136">
        <f t="shared" si="3"/>
        <v>0.8950389503895039</v>
      </c>
      <c r="J26" s="31">
        <f t="shared" si="3"/>
        <v>0.8638746974993278</v>
      </c>
    </row>
    <row r="27" spans="1:10" ht="14.25" thickBot="1">
      <c r="A27" s="97">
        <f t="shared" si="1"/>
        <v>23</v>
      </c>
      <c r="B27" s="175" t="s">
        <v>24</v>
      </c>
      <c r="C27" s="176"/>
      <c r="D27" s="177"/>
      <c r="E27" s="113">
        <f aca="true" t="shared" si="4" ref="E27:J27">+E23/E22</f>
        <v>77.89303079416531</v>
      </c>
      <c r="F27" s="114">
        <f t="shared" si="4"/>
        <v>42.68936877076412</v>
      </c>
      <c r="G27" s="114">
        <f t="shared" si="4"/>
        <v>32.556732223903175</v>
      </c>
      <c r="H27" s="114">
        <f t="shared" si="4"/>
        <v>57.45310957551826</v>
      </c>
      <c r="I27" s="137">
        <f t="shared" si="4"/>
        <v>75.52715654952077</v>
      </c>
      <c r="J27" s="27">
        <f t="shared" si="4"/>
        <v>50.361288989878126</v>
      </c>
    </row>
    <row r="28" spans="1:10" ht="13.5">
      <c r="A28" s="1"/>
      <c r="B28" s="1"/>
      <c r="C28" s="1"/>
      <c r="D28" s="1"/>
      <c r="E28" s="2"/>
      <c r="F28" s="2"/>
      <c r="G28" s="2"/>
      <c r="H28" s="2"/>
      <c r="I28" s="2"/>
      <c r="J28" s="2"/>
    </row>
  </sheetData>
  <mergeCells count="21">
    <mergeCell ref="B25:D25"/>
    <mergeCell ref="B26:D26"/>
    <mergeCell ref="B27:D27"/>
    <mergeCell ref="B14:B23"/>
    <mergeCell ref="C22:D22"/>
    <mergeCell ref="C23:D23"/>
    <mergeCell ref="B24:D24"/>
    <mergeCell ref="B5:D5"/>
    <mergeCell ref="B6:D6"/>
    <mergeCell ref="B7:D7"/>
    <mergeCell ref="B8:B13"/>
    <mergeCell ref="C8:D8"/>
    <mergeCell ref="C9:D9"/>
    <mergeCell ref="C10:D10"/>
    <mergeCell ref="C11:D11"/>
    <mergeCell ref="C12:D12"/>
    <mergeCell ref="C13:D13"/>
    <mergeCell ref="A1:J1"/>
    <mergeCell ref="A2:J2"/>
    <mergeCell ref="A3:J3"/>
    <mergeCell ref="B4:D4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I28" sqref="I28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35.421875" style="0" customWidth="1"/>
    <col min="4" max="4" width="12.421875" style="0" bestFit="1" customWidth="1"/>
    <col min="5" max="7" width="8.8515625" style="0" bestFit="1" customWidth="1"/>
    <col min="8" max="9" width="7.00390625" style="0" bestFit="1" customWidth="1"/>
    <col min="10" max="10" width="8.00390625" style="0" bestFit="1" customWidth="1"/>
  </cols>
  <sheetData>
    <row r="1" spans="1:10" ht="17.25">
      <c r="A1" s="153" t="s">
        <v>25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">
      <c r="A2" s="154" t="s">
        <v>27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5.75" thickBot="1">
      <c r="A3" s="201" t="s">
        <v>41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57.75" thickBot="1">
      <c r="A4" s="79" t="s">
        <v>0</v>
      </c>
      <c r="B4" s="161" t="s">
        <v>1</v>
      </c>
      <c r="C4" s="162"/>
      <c r="D4" s="163"/>
      <c r="E4" s="103" t="s">
        <v>28</v>
      </c>
      <c r="F4" s="104" t="s">
        <v>29</v>
      </c>
      <c r="G4" s="104" t="s">
        <v>3</v>
      </c>
      <c r="H4" s="104" t="s">
        <v>2</v>
      </c>
      <c r="I4" s="130" t="s">
        <v>30</v>
      </c>
      <c r="J4" s="53" t="s">
        <v>4</v>
      </c>
    </row>
    <row r="5" spans="1:10" ht="13.5">
      <c r="A5" s="96">
        <v>1</v>
      </c>
      <c r="B5" s="164" t="s">
        <v>5</v>
      </c>
      <c r="C5" s="165"/>
      <c r="D5" s="166"/>
      <c r="E5" s="109">
        <v>1752</v>
      </c>
      <c r="F5" s="107">
        <v>2233</v>
      </c>
      <c r="G5" s="108">
        <v>4107</v>
      </c>
      <c r="H5" s="108">
        <v>4961</v>
      </c>
      <c r="I5" s="141">
        <v>2560</v>
      </c>
      <c r="J5" s="138">
        <f aca="true" t="shared" si="0" ref="J5:J25">SUM(E5:I5)</f>
        <v>15613</v>
      </c>
    </row>
    <row r="6" spans="1:10" ht="13.5">
      <c r="A6" s="97">
        <f>A5+1</f>
        <v>2</v>
      </c>
      <c r="B6" s="151" t="s">
        <v>6</v>
      </c>
      <c r="C6" s="152"/>
      <c r="D6" s="150"/>
      <c r="E6" s="100">
        <v>57</v>
      </c>
      <c r="F6" s="41"/>
      <c r="G6" s="93">
        <v>28</v>
      </c>
      <c r="H6" s="93">
        <v>20</v>
      </c>
      <c r="I6" s="133">
        <v>6</v>
      </c>
      <c r="J6" s="139">
        <f t="shared" si="0"/>
        <v>111</v>
      </c>
    </row>
    <row r="7" spans="1:10" ht="13.5">
      <c r="A7" s="97">
        <f aca="true" t="shared" si="1" ref="A7:A27">A6+1</f>
        <v>3</v>
      </c>
      <c r="B7" s="151" t="s">
        <v>20</v>
      </c>
      <c r="C7" s="152"/>
      <c r="D7" s="150"/>
      <c r="E7" s="100">
        <f>SUM(E5:E6)</f>
        <v>1809</v>
      </c>
      <c r="F7" s="41">
        <f>SUM(F5:F6)</f>
        <v>2233</v>
      </c>
      <c r="G7" s="41">
        <f>SUM(G5:G6)</f>
        <v>4135</v>
      </c>
      <c r="H7" s="41">
        <f>SUM(H5:H6)</f>
        <v>4981</v>
      </c>
      <c r="I7" s="133">
        <f>SUM(I5:I6)</f>
        <v>2566</v>
      </c>
      <c r="J7" s="139">
        <f t="shared" si="0"/>
        <v>15724</v>
      </c>
    </row>
    <row r="8" spans="1:10" ht="13.5">
      <c r="A8" s="97">
        <f t="shared" si="1"/>
        <v>4</v>
      </c>
      <c r="B8" s="159" t="s">
        <v>7</v>
      </c>
      <c r="C8" s="152" t="s">
        <v>8</v>
      </c>
      <c r="D8" s="150"/>
      <c r="E8" s="110">
        <v>51</v>
      </c>
      <c r="F8" s="105">
        <v>5</v>
      </c>
      <c r="G8" s="106">
        <v>10</v>
      </c>
      <c r="H8" s="106"/>
      <c r="I8" s="142"/>
      <c r="J8" s="139">
        <f t="shared" si="0"/>
        <v>66</v>
      </c>
    </row>
    <row r="9" spans="1:10" ht="13.5">
      <c r="A9" s="97">
        <f t="shared" si="1"/>
        <v>5</v>
      </c>
      <c r="B9" s="159"/>
      <c r="C9" s="152" t="s">
        <v>9</v>
      </c>
      <c r="D9" s="150"/>
      <c r="E9" s="100">
        <v>45</v>
      </c>
      <c r="F9" s="105">
        <v>20</v>
      </c>
      <c r="G9" s="106">
        <v>36</v>
      </c>
      <c r="H9" s="106">
        <v>118</v>
      </c>
      <c r="I9" s="142">
        <v>82</v>
      </c>
      <c r="J9" s="139">
        <f t="shared" si="0"/>
        <v>301</v>
      </c>
    </row>
    <row r="10" spans="1:10" ht="13.5">
      <c r="A10" s="97">
        <f t="shared" si="1"/>
        <v>6</v>
      </c>
      <c r="B10" s="159"/>
      <c r="C10" s="152" t="s">
        <v>10</v>
      </c>
      <c r="D10" s="150"/>
      <c r="E10" s="100">
        <v>15</v>
      </c>
      <c r="F10" s="105">
        <v>31</v>
      </c>
      <c r="G10" s="106">
        <v>121</v>
      </c>
      <c r="H10" s="106">
        <v>29</v>
      </c>
      <c r="I10" s="142">
        <v>18</v>
      </c>
      <c r="J10" s="139">
        <f t="shared" si="0"/>
        <v>214</v>
      </c>
    </row>
    <row r="11" spans="1:10" ht="13.5">
      <c r="A11" s="97">
        <f t="shared" si="1"/>
        <v>7</v>
      </c>
      <c r="B11" s="159"/>
      <c r="C11" s="152" t="s">
        <v>11</v>
      </c>
      <c r="D11" s="150"/>
      <c r="E11" s="100">
        <v>3</v>
      </c>
      <c r="F11" s="105">
        <v>10</v>
      </c>
      <c r="G11" s="106"/>
      <c r="H11" s="106">
        <v>8</v>
      </c>
      <c r="I11" s="142">
        <v>3</v>
      </c>
      <c r="J11" s="139">
        <f t="shared" si="0"/>
        <v>24</v>
      </c>
    </row>
    <row r="12" spans="1:10" ht="13.5">
      <c r="A12" s="97">
        <f t="shared" si="1"/>
        <v>8</v>
      </c>
      <c r="B12" s="159"/>
      <c r="C12" s="152" t="s">
        <v>12</v>
      </c>
      <c r="D12" s="150"/>
      <c r="E12" s="101">
        <f>E8+E9</f>
        <v>96</v>
      </c>
      <c r="F12" s="93">
        <f>F8+F9</f>
        <v>25</v>
      </c>
      <c r="G12" s="93">
        <f>G8+G9</f>
        <v>46</v>
      </c>
      <c r="H12" s="93">
        <f>H8+H9</f>
        <v>118</v>
      </c>
      <c r="I12" s="134">
        <f>I8+I9</f>
        <v>82</v>
      </c>
      <c r="J12" s="139">
        <f t="shared" si="0"/>
        <v>367</v>
      </c>
    </row>
    <row r="13" spans="1:10" ht="13.5">
      <c r="A13" s="97">
        <f t="shared" si="1"/>
        <v>9</v>
      </c>
      <c r="B13" s="159"/>
      <c r="C13" s="152" t="s">
        <v>13</v>
      </c>
      <c r="D13" s="150"/>
      <c r="E13" s="101">
        <f>E10+E11</f>
        <v>18</v>
      </c>
      <c r="F13" s="93">
        <f>F10+F11</f>
        <v>41</v>
      </c>
      <c r="G13" s="93">
        <f>G10+G11</f>
        <v>121</v>
      </c>
      <c r="H13" s="93">
        <f>H10+H11</f>
        <v>37</v>
      </c>
      <c r="I13" s="134">
        <f>I10+I11</f>
        <v>21</v>
      </c>
      <c r="J13" s="139">
        <f t="shared" si="0"/>
        <v>238</v>
      </c>
    </row>
    <row r="14" spans="1:10" ht="13.5">
      <c r="A14" s="97">
        <f t="shared" si="1"/>
        <v>10</v>
      </c>
      <c r="B14" s="159" t="s">
        <v>14</v>
      </c>
      <c r="C14" s="92" t="s">
        <v>15</v>
      </c>
      <c r="D14" s="102" t="s">
        <v>16</v>
      </c>
      <c r="E14" s="100"/>
      <c r="F14" s="41"/>
      <c r="G14" s="93"/>
      <c r="H14" s="93"/>
      <c r="I14" s="133"/>
      <c r="J14" s="139">
        <f t="shared" si="0"/>
        <v>0</v>
      </c>
    </row>
    <row r="15" spans="1:10" ht="13.5">
      <c r="A15" s="97">
        <f t="shared" si="1"/>
        <v>11</v>
      </c>
      <c r="B15" s="159"/>
      <c r="C15" s="94"/>
      <c r="D15" s="102" t="s">
        <v>17</v>
      </c>
      <c r="E15" s="100"/>
      <c r="F15" s="93"/>
      <c r="G15" s="93"/>
      <c r="H15" s="93"/>
      <c r="I15" s="134"/>
      <c r="J15" s="139">
        <f t="shared" si="0"/>
        <v>0</v>
      </c>
    </row>
    <row r="16" spans="1:10" ht="13.5">
      <c r="A16" s="97">
        <f t="shared" si="1"/>
        <v>12</v>
      </c>
      <c r="B16" s="159"/>
      <c r="C16" s="92" t="s">
        <v>9</v>
      </c>
      <c r="D16" s="102" t="s">
        <v>16</v>
      </c>
      <c r="E16" s="100">
        <v>385</v>
      </c>
      <c r="F16" s="41">
        <v>440</v>
      </c>
      <c r="G16" s="93">
        <v>1395</v>
      </c>
      <c r="H16" s="93">
        <v>969</v>
      </c>
      <c r="I16" s="133">
        <v>503</v>
      </c>
      <c r="J16" s="139">
        <f t="shared" si="0"/>
        <v>3692</v>
      </c>
    </row>
    <row r="17" spans="1:10" ht="13.5">
      <c r="A17" s="97">
        <f t="shared" si="1"/>
        <v>13</v>
      </c>
      <c r="B17" s="159"/>
      <c r="C17" s="94"/>
      <c r="D17" s="102" t="s">
        <v>17</v>
      </c>
      <c r="E17" s="100">
        <f>552*60</f>
        <v>33120</v>
      </c>
      <c r="F17" s="41">
        <f>450*60</f>
        <v>27000</v>
      </c>
      <c r="G17" s="93">
        <f>865*60</f>
        <v>51900</v>
      </c>
      <c r="H17" s="93">
        <f>941*60</f>
        <v>56460</v>
      </c>
      <c r="I17" s="134">
        <f>568*60</f>
        <v>34080</v>
      </c>
      <c r="J17" s="139">
        <f t="shared" si="0"/>
        <v>202560</v>
      </c>
    </row>
    <row r="18" spans="1:10" ht="13.5">
      <c r="A18" s="97">
        <f t="shared" si="1"/>
        <v>14</v>
      </c>
      <c r="B18" s="159"/>
      <c r="C18" s="92" t="s">
        <v>10</v>
      </c>
      <c r="D18" s="102" t="s">
        <v>16</v>
      </c>
      <c r="E18" s="100">
        <v>389</v>
      </c>
      <c r="F18" s="41">
        <v>176</v>
      </c>
      <c r="G18" s="93">
        <v>467</v>
      </c>
      <c r="H18" s="93">
        <v>163</v>
      </c>
      <c r="I18" s="133">
        <v>120</v>
      </c>
      <c r="J18" s="139">
        <f t="shared" si="0"/>
        <v>1315</v>
      </c>
    </row>
    <row r="19" spans="1:10" ht="13.5">
      <c r="A19" s="97">
        <f t="shared" si="1"/>
        <v>15</v>
      </c>
      <c r="B19" s="159"/>
      <c r="C19" s="94"/>
      <c r="D19" s="102" t="s">
        <v>17</v>
      </c>
      <c r="E19" s="100">
        <f>491*60</f>
        <v>29460</v>
      </c>
      <c r="F19" s="93">
        <f>225*60</f>
        <v>13500</v>
      </c>
      <c r="G19" s="93">
        <f>384*60</f>
        <v>23040</v>
      </c>
      <c r="H19" s="93">
        <f>197*60</f>
        <v>11820</v>
      </c>
      <c r="I19" s="134">
        <f>126*60</f>
        <v>7560</v>
      </c>
      <c r="J19" s="139">
        <f t="shared" si="0"/>
        <v>85380</v>
      </c>
    </row>
    <row r="20" spans="1:10" ht="13.5">
      <c r="A20" s="97">
        <f t="shared" si="1"/>
        <v>16</v>
      </c>
      <c r="B20" s="159"/>
      <c r="C20" s="92" t="s">
        <v>11</v>
      </c>
      <c r="D20" s="102" t="s">
        <v>16</v>
      </c>
      <c r="E20" s="100">
        <v>102</v>
      </c>
      <c r="F20" s="41">
        <v>321</v>
      </c>
      <c r="G20" s="93">
        <v>362</v>
      </c>
      <c r="H20" s="93">
        <v>104</v>
      </c>
      <c r="I20" s="133">
        <v>45</v>
      </c>
      <c r="J20" s="139">
        <f t="shared" si="0"/>
        <v>934</v>
      </c>
    </row>
    <row r="21" spans="1:10" ht="13.5">
      <c r="A21" s="97">
        <f t="shared" si="1"/>
        <v>17</v>
      </c>
      <c r="B21" s="159"/>
      <c r="C21" s="94"/>
      <c r="D21" s="102" t="s">
        <v>17</v>
      </c>
      <c r="E21" s="100">
        <f>99*60</f>
        <v>5940</v>
      </c>
      <c r="F21" s="93">
        <f>154*60</f>
        <v>9240</v>
      </c>
      <c r="G21" s="93">
        <f>117*60</f>
        <v>7020</v>
      </c>
      <c r="H21" s="93">
        <f>68*60</f>
        <v>4080</v>
      </c>
      <c r="I21" s="134">
        <f>34*60</f>
        <v>2040</v>
      </c>
      <c r="J21" s="139">
        <f t="shared" si="0"/>
        <v>28320</v>
      </c>
    </row>
    <row r="22" spans="1:10" ht="13.5">
      <c r="A22" s="97">
        <f t="shared" si="1"/>
        <v>18</v>
      </c>
      <c r="B22" s="159"/>
      <c r="C22" s="152" t="s">
        <v>18</v>
      </c>
      <c r="D22" s="150"/>
      <c r="E22" s="100">
        <f>E14+E16+E18+E20</f>
        <v>876</v>
      </c>
      <c r="F22" s="41">
        <f aca="true" t="shared" si="2" ref="F22:I23">F14+F16+F18+F20</f>
        <v>937</v>
      </c>
      <c r="G22" s="41">
        <f t="shared" si="2"/>
        <v>2224</v>
      </c>
      <c r="H22" s="41">
        <f t="shared" si="2"/>
        <v>1236</v>
      </c>
      <c r="I22" s="133">
        <f t="shared" si="2"/>
        <v>668</v>
      </c>
      <c r="J22" s="139">
        <f t="shared" si="0"/>
        <v>5941</v>
      </c>
    </row>
    <row r="23" spans="1:10" ht="14.25" thickBot="1">
      <c r="A23" s="97">
        <f t="shared" si="1"/>
        <v>19</v>
      </c>
      <c r="B23" s="160"/>
      <c r="C23" s="167" t="s">
        <v>19</v>
      </c>
      <c r="D23" s="168"/>
      <c r="E23" s="100">
        <f>E15+E17+E19+E21</f>
        <v>68520</v>
      </c>
      <c r="F23" s="41">
        <f t="shared" si="2"/>
        <v>49740</v>
      </c>
      <c r="G23" s="41">
        <f t="shared" si="2"/>
        <v>81960</v>
      </c>
      <c r="H23" s="41">
        <f t="shared" si="2"/>
        <v>72360</v>
      </c>
      <c r="I23" s="133">
        <f t="shared" si="2"/>
        <v>43680</v>
      </c>
      <c r="J23" s="139">
        <f t="shared" si="0"/>
        <v>316260</v>
      </c>
    </row>
    <row r="24" spans="1:10" ht="13.5">
      <c r="A24" s="97">
        <f t="shared" si="1"/>
        <v>20</v>
      </c>
      <c r="B24" s="164" t="s">
        <v>21</v>
      </c>
      <c r="C24" s="165"/>
      <c r="D24" s="166"/>
      <c r="E24" s="100">
        <f>E7-E12</f>
        <v>1713</v>
      </c>
      <c r="F24" s="41">
        <f>F7-F12</f>
        <v>2208</v>
      </c>
      <c r="G24" s="41">
        <f>G7-G12</f>
        <v>4089</v>
      </c>
      <c r="H24" s="41">
        <f>H7-H12</f>
        <v>4863</v>
      </c>
      <c r="I24" s="133">
        <f>I7-I12</f>
        <v>2484</v>
      </c>
      <c r="J24" s="139">
        <f t="shared" si="0"/>
        <v>15357</v>
      </c>
    </row>
    <row r="25" spans="1:10" ht="14.25" thickBot="1">
      <c r="A25" s="97">
        <f t="shared" si="1"/>
        <v>21</v>
      </c>
      <c r="B25" s="169" t="s">
        <v>22</v>
      </c>
      <c r="C25" s="170"/>
      <c r="D25" s="171"/>
      <c r="E25" s="111">
        <f>E24-E22-E13</f>
        <v>819</v>
      </c>
      <c r="F25" s="112">
        <f>F24-F22-F13</f>
        <v>1230</v>
      </c>
      <c r="G25" s="112">
        <f>G24-G22-G13</f>
        <v>1744</v>
      </c>
      <c r="H25" s="112">
        <f>H24-H22-H13</f>
        <v>3590</v>
      </c>
      <c r="I25" s="135">
        <f>I24-I22-I13</f>
        <v>1795</v>
      </c>
      <c r="J25" s="140">
        <f t="shared" si="0"/>
        <v>9178</v>
      </c>
    </row>
    <row r="26" spans="1:10" ht="14.25" thickBot="1">
      <c r="A26" s="97">
        <f t="shared" si="1"/>
        <v>22</v>
      </c>
      <c r="B26" s="172" t="s">
        <v>23</v>
      </c>
      <c r="C26" s="173"/>
      <c r="D26" s="174"/>
      <c r="E26" s="116">
        <f aca="true" t="shared" si="3" ref="E26:J26">IF(E24=0,0,(E25+E16)/E24)</f>
        <v>0.7028604786923526</v>
      </c>
      <c r="F26" s="117">
        <f t="shared" si="3"/>
        <v>0.7563405797101449</v>
      </c>
      <c r="G26" s="117">
        <f t="shared" si="3"/>
        <v>0.7676693568109563</v>
      </c>
      <c r="H26" s="117">
        <f t="shared" si="3"/>
        <v>0.9374871478511208</v>
      </c>
      <c r="I26" s="136">
        <f t="shared" si="3"/>
        <v>0.9251207729468599</v>
      </c>
      <c r="J26" s="31">
        <f t="shared" si="3"/>
        <v>0.8380543074819301</v>
      </c>
    </row>
    <row r="27" spans="1:10" ht="14.25" thickBot="1">
      <c r="A27" s="97">
        <f t="shared" si="1"/>
        <v>23</v>
      </c>
      <c r="B27" s="175" t="s">
        <v>24</v>
      </c>
      <c r="C27" s="176"/>
      <c r="D27" s="177"/>
      <c r="E27" s="113">
        <f aca="true" t="shared" si="4" ref="E27:J27">+E23/E22</f>
        <v>78.21917808219177</v>
      </c>
      <c r="F27" s="114">
        <f t="shared" si="4"/>
        <v>53.084311632870865</v>
      </c>
      <c r="G27" s="114">
        <f t="shared" si="4"/>
        <v>36.85251798561151</v>
      </c>
      <c r="H27" s="114">
        <f t="shared" si="4"/>
        <v>58.54368932038835</v>
      </c>
      <c r="I27" s="137">
        <f t="shared" si="4"/>
        <v>65.38922155688623</v>
      </c>
      <c r="J27" s="27">
        <f t="shared" si="4"/>
        <v>53.2334623800707</v>
      </c>
    </row>
    <row r="28" spans="1:10" ht="13.5">
      <c r="A28" s="1"/>
      <c r="B28" s="1"/>
      <c r="C28" s="1"/>
      <c r="D28" s="1"/>
      <c r="E28" s="2"/>
      <c r="F28" s="2"/>
      <c r="G28" s="2"/>
      <c r="H28" s="2"/>
      <c r="I28" s="2"/>
      <c r="J28" s="2"/>
    </row>
  </sheetData>
  <mergeCells count="21">
    <mergeCell ref="B25:D25"/>
    <mergeCell ref="B26:D26"/>
    <mergeCell ref="B27:D27"/>
    <mergeCell ref="B14:B23"/>
    <mergeCell ref="C22:D22"/>
    <mergeCell ref="C23:D23"/>
    <mergeCell ref="B24:D24"/>
    <mergeCell ref="B5:D5"/>
    <mergeCell ref="B6:D6"/>
    <mergeCell ref="B7:D7"/>
    <mergeCell ref="B8:B13"/>
    <mergeCell ref="C8:D8"/>
    <mergeCell ref="C9:D9"/>
    <mergeCell ref="C10:D10"/>
    <mergeCell ref="C11:D11"/>
    <mergeCell ref="C12:D12"/>
    <mergeCell ref="C13:D13"/>
    <mergeCell ref="A1:J1"/>
    <mergeCell ref="A2:J2"/>
    <mergeCell ref="A3:J3"/>
    <mergeCell ref="B4:D4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H36" sqref="H36"/>
    </sheetView>
  </sheetViews>
  <sheetFormatPr defaultColWidth="11.421875" defaultRowHeight="12.75"/>
  <cols>
    <col min="1" max="1" width="4.00390625" style="0" bestFit="1" customWidth="1"/>
    <col min="2" max="2" width="3.57421875" style="0" customWidth="1"/>
    <col min="3" max="3" width="35.421875" style="0" customWidth="1"/>
    <col min="4" max="4" width="12.421875" style="0" bestFit="1" customWidth="1"/>
    <col min="5" max="7" width="8.8515625" style="0" bestFit="1" customWidth="1"/>
    <col min="8" max="9" width="8.00390625" style="0" bestFit="1" customWidth="1"/>
    <col min="10" max="10" width="9.421875" style="0" bestFit="1" customWidth="1"/>
  </cols>
  <sheetData>
    <row r="1" spans="1:10" ht="17.25">
      <c r="A1" s="153" t="s">
        <v>25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">
      <c r="A2" s="154" t="s">
        <v>27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5.75" thickBot="1">
      <c r="A3" s="154">
        <v>2007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s="143" customFormat="1" ht="57" thickBot="1">
      <c r="A4" s="146" t="s">
        <v>0</v>
      </c>
      <c r="B4" s="214" t="s">
        <v>1</v>
      </c>
      <c r="C4" s="215"/>
      <c r="D4" s="216"/>
      <c r="E4" s="147" t="s">
        <v>28</v>
      </c>
      <c r="F4" s="147" t="s">
        <v>29</v>
      </c>
      <c r="G4" s="147" t="s">
        <v>3</v>
      </c>
      <c r="H4" s="147" t="s">
        <v>2</v>
      </c>
      <c r="I4" s="148" t="s">
        <v>30</v>
      </c>
      <c r="J4" s="149" t="s">
        <v>4</v>
      </c>
    </row>
    <row r="5" spans="1:10" ht="13.5">
      <c r="A5" s="32">
        <v>1</v>
      </c>
      <c r="B5" s="192" t="s">
        <v>5</v>
      </c>
      <c r="C5" s="193"/>
      <c r="D5" s="194"/>
      <c r="E5" s="11">
        <f>+ENE!E5+FEB!E5+MAR!E5+ABR!E5+MAY!E5+JUN!E5+JUL!E5+AGOS!E5+SEPT!E5+OCT!E5+NOV!E5+DIC!E5</f>
        <v>20334</v>
      </c>
      <c r="F5" s="11">
        <f>+ENE!F5+FEB!F5+MAR!F5+ABR!F5+MAY!F5+JUN!F5+JUL!F5+AGOS!F5+SEPT!F5+OCT!F5+NOV!F5+DIC!F5</f>
        <v>27784</v>
      </c>
      <c r="G5" s="11">
        <f>+ENE!G5+FEB!G5+MAR!G5+ABR!G5+MAY!G5+JUN!G5+JUL!G5+AGOS!G5+SEPT!G5+OCT!G5+NOV!G5+DIC!G5</f>
        <v>40770</v>
      </c>
      <c r="H5" s="11">
        <f>+ENE!H5+FEB!H5+MAR!H5+ABR!H5+MAY!H5+JUN!H5+JUL!H5+AGOS!H5+SEPT!H5+OCT!H5+NOV!H5+DIC!H5</f>
        <v>57927</v>
      </c>
      <c r="I5" s="37">
        <f>+ENE!I5+FEB!I5+MAR!I5+ABR!I5+MAY!I5+JUN!I5+JUL!I5+AGOS!I5+SEPT!I5+OCT!I5+NOV!I5+DIC!I5</f>
        <v>27913</v>
      </c>
      <c r="J5" s="54">
        <f aca="true" t="shared" si="0" ref="J5:J25">SUM(E5:I5)</f>
        <v>174728</v>
      </c>
    </row>
    <row r="6" spans="1:10" ht="14.25" thickBot="1">
      <c r="A6" s="33">
        <f>A5+1</f>
        <v>2</v>
      </c>
      <c r="B6" s="217" t="s">
        <v>6</v>
      </c>
      <c r="C6" s="218"/>
      <c r="D6" s="188"/>
      <c r="E6" s="36">
        <f>+ENE!E6+FEB!E6+MAR!E6+ABR!E6+MAY!E6+JUN!E6+JUL!E6+AGOS!E6+SEPT!E6+OCT!E6+NOV!E6+DIC!E6</f>
        <v>389</v>
      </c>
      <c r="F6" s="36">
        <f>+ENE!F6+FEB!F6+MAR!F6+ABR!F6+MAY!F6+JUN!F6+JUL!F6+AGOS!F6+SEPT!F6+OCT!F6+NOV!F6+DIC!F6</f>
        <v>0</v>
      </c>
      <c r="G6" s="36">
        <f>+ENE!G6+FEB!G6+MAR!G6+ABR!G6+MAY!G6+JUN!G6+JUL!G6+AGOS!G6+SEPT!G6+OCT!G6+NOV!G6+DIC!G6</f>
        <v>206</v>
      </c>
      <c r="H6" s="36">
        <f>+ENE!H6+FEB!H6+MAR!H6+ABR!H6+MAY!H6+JUN!H6+JUL!H6+AGOS!H6+SEPT!H6+OCT!H6+NOV!H6+DIC!H6</f>
        <v>269</v>
      </c>
      <c r="I6" s="36">
        <f>+ENE!I6+FEB!I6+MAR!I6+ABR!I6+MAY!I6+JUN!I6+JUL!I6+AGOS!I6+SEPT!I6+OCT!I6+NOV!I6+DIC!I6</f>
        <v>219</v>
      </c>
      <c r="J6" s="55">
        <f t="shared" si="0"/>
        <v>1083</v>
      </c>
    </row>
    <row r="7" spans="1:10" s="35" customFormat="1" ht="14.25" thickBot="1">
      <c r="A7" s="33">
        <f aca="true" t="shared" si="1" ref="A7:A27">A6+1</f>
        <v>3</v>
      </c>
      <c r="B7" s="219" t="s">
        <v>20</v>
      </c>
      <c r="C7" s="220"/>
      <c r="D7" s="221"/>
      <c r="E7" s="38">
        <f>SUM(E5:E6)</f>
        <v>20723</v>
      </c>
      <c r="F7" s="39">
        <f>SUM(F5:F6)</f>
        <v>27784</v>
      </c>
      <c r="G7" s="39">
        <f>SUM(G5:G6)</f>
        <v>40976</v>
      </c>
      <c r="H7" s="39">
        <f>SUM(H5:H6)</f>
        <v>58196</v>
      </c>
      <c r="I7" s="40">
        <f>SUM(I5:I6)</f>
        <v>28132</v>
      </c>
      <c r="J7" s="56">
        <f t="shared" si="0"/>
        <v>175811</v>
      </c>
    </row>
    <row r="8" spans="1:10" ht="13.5">
      <c r="A8" s="33">
        <f t="shared" si="1"/>
        <v>4</v>
      </c>
      <c r="B8" s="222" t="s">
        <v>7</v>
      </c>
      <c r="C8" s="192" t="s">
        <v>8</v>
      </c>
      <c r="D8" s="193"/>
      <c r="E8" s="42">
        <f>+ENE!E8+FEB!E8+MAR!E8+ABR!E8+MAY!E8+JUN!E8+JUL!E8+AGOS!E8+SEPT!E8+OCT!E8+NOV!E8+DIC!E8</f>
        <v>479</v>
      </c>
      <c r="F8" s="43">
        <f>+ENE!F8+FEB!F8+MAR!F8+ABR!F8+MAY!F8+JUN!F8+JUL!F8+AGOS!F8+SEPT!F8+OCT!F8+NOV!F8+DIC!F8</f>
        <v>79</v>
      </c>
      <c r="G8" s="43">
        <f>+ENE!G8+FEB!G8+MAR!G8+ABR!G8+MAY!G8+JUN!G8+JUL!G8+AGOS!G8+SEPT!G8+OCT!G8+NOV!G8+DIC!G8</f>
        <v>111</v>
      </c>
      <c r="H8" s="43">
        <f>+ENE!H8+FEB!H8+MAR!H8+ABR!H8+MAY!H8+JUN!H8+JUL!H8+AGOS!H8+SEPT!H8+OCT!H8+NOV!H8+DIC!H8</f>
        <v>0</v>
      </c>
      <c r="I8" s="44">
        <f>+ENE!I8+FEB!I8+MAR!I8+ABR!I8+MAY!I8+JUN!I8+JUL!I8+AGOS!I8+SEPT!I8+OCT!I8+NOV!I8+DIC!I8</f>
        <v>0</v>
      </c>
      <c r="J8" s="57">
        <f t="shared" si="0"/>
        <v>669</v>
      </c>
    </row>
    <row r="9" spans="1:10" ht="13.5">
      <c r="A9" s="33">
        <f t="shared" si="1"/>
        <v>5</v>
      </c>
      <c r="B9" s="223"/>
      <c r="C9" s="195" t="s">
        <v>9</v>
      </c>
      <c r="D9" s="196"/>
      <c r="E9" s="45">
        <f>+ENE!E9+FEB!E9+MAR!E9+ABR!E9+MAY!E9+JUN!E9+JUL!E9+AGOS!E9+SEPT!E9+OCT!E9+NOV!E9+DIC!E9</f>
        <v>317</v>
      </c>
      <c r="F9" s="41">
        <f>+ENE!F9+FEB!F9+MAR!F9+ABR!F9+MAY!F9+JUN!F9+JUL!F9+AGOS!F9+SEPT!F9+OCT!F9+NOV!F9+DIC!F9</f>
        <v>240</v>
      </c>
      <c r="G9" s="41">
        <f>+ENE!G9+FEB!G9+MAR!G9+ABR!G9+MAY!G9+JUN!G9+JUL!G9+AGOS!G9+SEPT!G9+OCT!G9+NOV!G9+DIC!G9</f>
        <v>459</v>
      </c>
      <c r="H9" s="41">
        <f>+ENE!H9+FEB!H9+MAR!H9+ABR!H9+MAY!H9+JUN!H9+JUL!H9+AGOS!H9+SEPT!H9+OCT!H9+NOV!H9+DIC!H9</f>
        <v>1028</v>
      </c>
      <c r="I9" s="46">
        <f>+ENE!I9+FEB!I9+MAR!I9+ABR!I9+MAY!I9+JUN!I9+JUL!I9+AGOS!I9+SEPT!I9+OCT!I9+NOV!I9+DIC!I9</f>
        <v>538</v>
      </c>
      <c r="J9" s="57">
        <f t="shared" si="0"/>
        <v>2582</v>
      </c>
    </row>
    <row r="10" spans="1:10" ht="13.5">
      <c r="A10" s="33">
        <f t="shared" si="1"/>
        <v>6</v>
      </c>
      <c r="B10" s="223"/>
      <c r="C10" s="195" t="s">
        <v>10</v>
      </c>
      <c r="D10" s="196"/>
      <c r="E10" s="45">
        <f>+ENE!E10+FEB!E10+MAR!E10+ABR!E10+MAY!E10+JUN!E10+JUL!E10+AGOS!E10+SEPT!E10+OCT!E10+NOV!E10+DIC!E10</f>
        <v>135</v>
      </c>
      <c r="F10" s="41">
        <f>+ENE!F10+FEB!F10+MAR!F10+ABR!F10+MAY!F10+JUN!F10+JUL!F10+AGOS!F10+SEPT!F10+OCT!F10+NOV!F10+DIC!F10</f>
        <v>320</v>
      </c>
      <c r="G10" s="41">
        <f>+ENE!G10+FEB!G10+MAR!G10+ABR!G10+MAY!G10+JUN!G10+JUL!G10+AGOS!G10+SEPT!G10+OCT!G10+NOV!G10+DIC!G10</f>
        <v>452</v>
      </c>
      <c r="H10" s="41">
        <f>+ENE!H10+FEB!H10+MAR!H10+ABR!H10+MAY!H10+JUN!H10+JUL!H10+AGOS!H10+SEPT!H10+OCT!H10+NOV!H10+DIC!H10</f>
        <v>646</v>
      </c>
      <c r="I10" s="46">
        <f>+ENE!I10+FEB!I10+MAR!I10+ABR!I10+MAY!I10+JUN!I10+JUL!I10+AGOS!I10+SEPT!I10+OCT!I10+NOV!I10+DIC!I10</f>
        <v>589</v>
      </c>
      <c r="J10" s="57">
        <f t="shared" si="0"/>
        <v>2142</v>
      </c>
    </row>
    <row r="11" spans="1:10" ht="14.25" thickBot="1">
      <c r="A11" s="33">
        <f t="shared" si="1"/>
        <v>7</v>
      </c>
      <c r="B11" s="223"/>
      <c r="C11" s="179" t="s">
        <v>11</v>
      </c>
      <c r="D11" s="180"/>
      <c r="E11" s="47">
        <f>+ENE!E11+FEB!E11+MAR!E11+ABR!E11+MAY!E11+JUN!E11+JUL!E11+AGOS!E11+SEPT!E11+OCT!E11+NOV!E11+DIC!E11</f>
        <v>18</v>
      </c>
      <c r="F11" s="48">
        <f>+ENE!F11+FEB!F11+MAR!F11+ABR!F11+MAY!F11+JUN!F11+JUL!F11+AGOS!F11+SEPT!F11+OCT!F11+NOV!F11+DIC!F11</f>
        <v>77</v>
      </c>
      <c r="G11" s="48">
        <f>+ENE!G11+FEB!G11+MAR!G11+ABR!G11+MAY!G11+JUN!G11+JUL!G11+AGOS!G11+SEPT!G11+OCT!G11+NOV!G11+DIC!G11</f>
        <v>50</v>
      </c>
      <c r="H11" s="48">
        <f>+ENE!H11+FEB!H11+MAR!H11+ABR!H11+MAY!H11+JUN!H11+JUL!H11+AGOS!H11+SEPT!H11+OCT!H11+NOV!H11+DIC!H11</f>
        <v>156</v>
      </c>
      <c r="I11" s="49">
        <f>+ENE!I11+FEB!I11+MAR!I11+ABR!I11+MAY!I11+JUN!I11+JUL!I11+AGOS!I11+SEPT!I11+OCT!I11+NOV!I11+DIC!I11</f>
        <v>86</v>
      </c>
      <c r="J11" s="58">
        <f t="shared" si="0"/>
        <v>387</v>
      </c>
    </row>
    <row r="12" spans="1:10" ht="14.25" thickBot="1">
      <c r="A12" s="33">
        <f t="shared" si="1"/>
        <v>8</v>
      </c>
      <c r="B12" s="223"/>
      <c r="C12" s="219" t="s">
        <v>12</v>
      </c>
      <c r="D12" s="221"/>
      <c r="E12" s="21">
        <f>E8+E9</f>
        <v>796</v>
      </c>
      <c r="F12" s="22">
        <f>F8+F9</f>
        <v>319</v>
      </c>
      <c r="G12" s="22">
        <f>G8+G9</f>
        <v>570</v>
      </c>
      <c r="H12" s="22">
        <f>H8+H9</f>
        <v>1028</v>
      </c>
      <c r="I12" s="23">
        <f>I8+I9</f>
        <v>538</v>
      </c>
      <c r="J12" s="56">
        <f t="shared" si="0"/>
        <v>3251</v>
      </c>
    </row>
    <row r="13" spans="1:10" ht="14.25" thickBot="1">
      <c r="A13" s="33">
        <f t="shared" si="1"/>
        <v>9</v>
      </c>
      <c r="B13" s="224"/>
      <c r="C13" s="225" t="s">
        <v>13</v>
      </c>
      <c r="D13" s="226"/>
      <c r="E13" s="50">
        <f>E10+E11</f>
        <v>153</v>
      </c>
      <c r="F13" s="51">
        <f>F10+F11</f>
        <v>397</v>
      </c>
      <c r="G13" s="51">
        <f>G10+G11</f>
        <v>502</v>
      </c>
      <c r="H13" s="51">
        <f>H10+H11</f>
        <v>802</v>
      </c>
      <c r="I13" s="52">
        <f>I10+I11</f>
        <v>675</v>
      </c>
      <c r="J13" s="27">
        <f t="shared" si="0"/>
        <v>2529</v>
      </c>
    </row>
    <row r="14" spans="1:10" ht="13.5">
      <c r="A14" s="33">
        <f t="shared" si="1"/>
        <v>10</v>
      </c>
      <c r="B14" s="222" t="s">
        <v>14</v>
      </c>
      <c r="C14" s="91" t="s">
        <v>15</v>
      </c>
      <c r="D14" s="127" t="s">
        <v>16</v>
      </c>
      <c r="E14" s="42">
        <f>+ENE!E14+FEB!E14+MAR!E14+ABR!E14+MAY!E14+JUN!E14+JUL!E14+AGOS!E14+SEPT!E14+OCT!E14+NOV!E14+DIC!E14</f>
        <v>0</v>
      </c>
      <c r="F14" s="43">
        <f>+ENE!F14+FEB!F14+MAR!F14+ABR!F14+MAY!F14+JUN!F14+JUL!F14+AGOS!F14+SEPT!F14+OCT!F14+NOV!F14+DIC!F14</f>
        <v>27</v>
      </c>
      <c r="G14" s="43">
        <f>+ENE!G14+FEB!G14+MAR!G14+ABR!G14+MAY!G14+JUN!G14+JUL!G14+AGOS!G14+SEPT!G14+OCT!G14+NOV!G14+DIC!G14</f>
        <v>0</v>
      </c>
      <c r="H14" s="43">
        <f>+ENE!H14+FEB!H14+MAR!H14+ABR!H14+MAY!H14+JUN!H14+JUL!H14+AGOS!H14+SEPT!H14+OCT!H14+NOV!H14+DIC!H14</f>
        <v>1</v>
      </c>
      <c r="I14" s="44">
        <f>+ENE!I14+FEB!I14+MAR!I14+ABR!I14+MAY!I14+JUN!I14+JUL!I14+AGOS!I14+SEPT!I14+OCT!I14+NOV!I14+DIC!I14</f>
        <v>0</v>
      </c>
      <c r="J14" s="57">
        <f t="shared" si="0"/>
        <v>28</v>
      </c>
    </row>
    <row r="15" spans="1:10" ht="13.5">
      <c r="A15" s="33">
        <f t="shared" si="1"/>
        <v>11</v>
      </c>
      <c r="B15" s="223"/>
      <c r="C15" s="125"/>
      <c r="D15" s="128" t="s">
        <v>17</v>
      </c>
      <c r="E15" s="45">
        <f>+ENE!E15+FEB!E15+MAR!E15+ABR!E15+MAY!E15+JUN!E15+JUL!E15+AGOS!E15+SEPT!E15+OCT!E15+NOV!E15+DIC!E15</f>
        <v>0</v>
      </c>
      <c r="F15" s="41">
        <f>+ENE!F15+FEB!F15+MAR!F15+ABR!F15+MAY!F15+JUN!F15+JUL!F15+AGOS!F15+SEPT!F15+OCT!F15+NOV!F15+DIC!F15</f>
        <v>652</v>
      </c>
      <c r="G15" s="41">
        <f>+ENE!G15+FEB!G15+MAR!G15+ABR!G15+MAY!G15+JUN!G15+JUL!G15+AGOS!G15+SEPT!G15+OCT!G15+NOV!G15+DIC!G15</f>
        <v>0</v>
      </c>
      <c r="H15" s="41">
        <f>+ENE!H15+FEB!H15+MAR!H15+ABR!H15+MAY!H15+JUN!H15+JUL!H15+AGOS!H15+SEPT!H15+OCT!H15+NOV!H15+DIC!H15</f>
        <v>18</v>
      </c>
      <c r="I15" s="46">
        <f>+ENE!I15+FEB!I15+MAR!I15+ABR!I15+MAY!I15+JUN!I15+JUL!I15+AGOS!I15+SEPT!I15+OCT!I15+NOV!I15+DIC!I15</f>
        <v>0</v>
      </c>
      <c r="J15" s="57">
        <f t="shared" si="0"/>
        <v>670</v>
      </c>
    </row>
    <row r="16" spans="1:10" ht="13.5">
      <c r="A16" s="33">
        <f t="shared" si="1"/>
        <v>12</v>
      </c>
      <c r="B16" s="223"/>
      <c r="C16" s="90" t="s">
        <v>9</v>
      </c>
      <c r="D16" s="128" t="s">
        <v>16</v>
      </c>
      <c r="E16" s="45">
        <f>+ENE!E16+FEB!E16+MAR!E16+ABR!E16+MAY!E16+JUN!E16+JUL!E16+AGOS!E16+SEPT!E16+OCT!E16+NOV!E16+DIC!E16</f>
        <v>4169</v>
      </c>
      <c r="F16" s="41">
        <f>+ENE!F16+FEB!F16+MAR!F16+ABR!F16+MAY!F16+JUN!F16+JUL!F16+AGOS!F16+SEPT!F16+OCT!F16+NOV!F16+DIC!F16</f>
        <v>3659</v>
      </c>
      <c r="G16" s="41">
        <f>+ENE!G16+FEB!G16+MAR!G16+ABR!G16+MAY!G16+JUN!G16+JUL!G16+AGOS!G16+SEPT!G16+OCT!G16+NOV!G16+DIC!G16</f>
        <v>8607</v>
      </c>
      <c r="H16" s="41">
        <f>+ENE!H16+FEB!H16+MAR!H16+ABR!H16+MAY!H16+JUN!H16+JUL!H16+AGOS!H16+SEPT!H16+OCT!H16+NOV!H16+DIC!H16</f>
        <v>7307</v>
      </c>
      <c r="I16" s="46">
        <f>+ENE!I16+FEB!I16+MAR!I16+ABR!I16+MAY!I16+JUN!I16+JUL!I16+AGOS!I16+SEPT!I16+OCT!I16+NOV!I16+DIC!I16</f>
        <v>3954</v>
      </c>
      <c r="J16" s="57">
        <f t="shared" si="0"/>
        <v>27696</v>
      </c>
    </row>
    <row r="17" spans="1:10" ht="13.5">
      <c r="A17" s="33">
        <f t="shared" si="1"/>
        <v>13</v>
      </c>
      <c r="B17" s="223"/>
      <c r="C17" s="125"/>
      <c r="D17" s="128" t="s">
        <v>17</v>
      </c>
      <c r="E17" s="45">
        <f>+ENE!E17+FEB!E17+MAR!E17+ABR!E17+MAY!E17+JUN!E17+JUL!E17+AGOS!E17+SEPT!E17+OCT!E17+NOV!E17+DIC!E17</f>
        <v>332416.8</v>
      </c>
      <c r="F17" s="41">
        <f>+ENE!F17+FEB!F17+MAR!F17+ABR!F17+MAY!F17+JUN!F17+JUL!F17+AGOS!F17+SEPT!F17+OCT!F17+NOV!F17+DIC!F17</f>
        <v>163388</v>
      </c>
      <c r="G17" s="41">
        <f>+ENE!G17+FEB!G17+MAR!G17+ABR!G17+MAY!G17+JUN!G17+JUL!G17+AGOS!G17+SEPT!G17+OCT!G17+NOV!G17+DIC!G17</f>
        <v>609240</v>
      </c>
      <c r="H17" s="41">
        <f>+ENE!H17+FEB!H17+MAR!H17+ABR!H17+MAY!H17+JUN!H17+JUL!H17+AGOS!H17+SEPT!H17+OCT!H17+NOV!H17+DIC!H17</f>
        <v>395960</v>
      </c>
      <c r="I17" s="46">
        <f>+ENE!I17+FEB!I17+MAR!I17+ABR!I17+MAY!I17+JUN!I17+JUL!I17+AGOS!I17+SEPT!I17+OCT!I17+NOV!I17+DIC!I17</f>
        <v>251590.4</v>
      </c>
      <c r="J17" s="57">
        <f t="shared" si="0"/>
        <v>1752595.2</v>
      </c>
    </row>
    <row r="18" spans="1:10" ht="13.5">
      <c r="A18" s="33">
        <f t="shared" si="1"/>
        <v>14</v>
      </c>
      <c r="B18" s="223"/>
      <c r="C18" s="90" t="s">
        <v>10</v>
      </c>
      <c r="D18" s="128" t="s">
        <v>16</v>
      </c>
      <c r="E18" s="45">
        <f>+ENE!E18+FEB!E18+MAR!E18+ABR!E18+MAY!E18+JUN!E18+JUL!E18+AGOS!E18+SEPT!E18+OCT!E18+NOV!E18+DIC!E18</f>
        <v>2688</v>
      </c>
      <c r="F18" s="41">
        <f>+ENE!F18+FEB!F18+MAR!F18+ABR!F18+MAY!F18+JUN!F18+JUL!F18+AGOS!F18+SEPT!F18+OCT!F18+NOV!F18+DIC!F18</f>
        <v>1568</v>
      </c>
      <c r="G18" s="41">
        <f>+ENE!G18+FEB!G18+MAR!G18+ABR!G18+MAY!G18+JUN!G18+JUL!G18+AGOS!G18+SEPT!G18+OCT!G18+NOV!G18+DIC!G18</f>
        <v>3631</v>
      </c>
      <c r="H18" s="41">
        <f>+ENE!H18+FEB!H18+MAR!H18+ABR!H18+MAY!H18+JUN!H18+JUL!H18+AGOS!H18+SEPT!H18+OCT!H18+NOV!H18+DIC!H18</f>
        <v>2309</v>
      </c>
      <c r="I18" s="46">
        <f>+ENE!I18+FEB!I18+MAR!I18+ABR!I18+MAY!I18+JUN!I18+JUL!I18+AGOS!I18+SEPT!I18+OCT!I18+NOV!I18+DIC!I18</f>
        <v>1622</v>
      </c>
      <c r="J18" s="57">
        <f t="shared" si="0"/>
        <v>11818</v>
      </c>
    </row>
    <row r="19" spans="1:10" ht="13.5">
      <c r="A19" s="33">
        <f t="shared" si="1"/>
        <v>15</v>
      </c>
      <c r="B19" s="223"/>
      <c r="C19" s="125"/>
      <c r="D19" s="128" t="s">
        <v>17</v>
      </c>
      <c r="E19" s="45">
        <f>+ENE!E19+FEB!E19+MAR!E19+ABR!E19+MAY!E19+JUN!E19+JUL!E19+AGOS!E19+SEPT!E19+OCT!E19+NOV!E19+DIC!E19</f>
        <v>234977.8</v>
      </c>
      <c r="F19" s="41">
        <f>+ENE!F19+FEB!F19+MAR!F19+ABR!F19+MAY!F19+JUN!F19+JUL!F19+AGOS!F19+SEPT!F19+OCT!F19+NOV!F19+DIC!F19</f>
        <v>96710.6</v>
      </c>
      <c r="G19" s="41">
        <f>+ENE!G19+FEB!G19+MAR!G19+ABR!G19+MAY!G19+JUN!G19+JUL!G19+AGOS!G19+SEPT!G19+OCT!G19+NOV!G19+DIC!G19</f>
        <v>212010</v>
      </c>
      <c r="H19" s="41">
        <f>+ENE!H19+FEB!H19+MAR!H19+ABR!H19+MAY!H19+JUN!H19+JUL!H19+AGOS!H19+SEPT!H19+OCT!H19+NOV!H19+DIC!H19</f>
        <v>268121</v>
      </c>
      <c r="I19" s="46">
        <f>+ENE!I19+FEB!I19+MAR!I19+ABR!I19+MAY!I19+JUN!I19+JUL!I19+AGOS!I19+SEPT!I19+OCT!I19+NOV!I19+DIC!I19</f>
        <v>108695</v>
      </c>
      <c r="J19" s="57">
        <f t="shared" si="0"/>
        <v>920514.4</v>
      </c>
    </row>
    <row r="20" spans="1:10" ht="13.5">
      <c r="A20" s="33">
        <f t="shared" si="1"/>
        <v>16</v>
      </c>
      <c r="B20" s="223"/>
      <c r="C20" s="90" t="s">
        <v>11</v>
      </c>
      <c r="D20" s="128" t="s">
        <v>16</v>
      </c>
      <c r="E20" s="45">
        <f>+ENE!E20+FEB!E20+MAR!E20+ABR!E20+MAY!E20+JUN!E20+JUL!E20+AGOS!E20+SEPT!E20+OCT!E20+NOV!E20+DIC!E20</f>
        <v>725</v>
      </c>
      <c r="F20" s="41">
        <f>+ENE!F20+FEB!F20+MAR!F20+ABR!F20+MAY!F20+JUN!F20+JUL!F20+AGOS!F20+SEPT!F20+OCT!F20+NOV!F20+DIC!F20</f>
        <v>1460</v>
      </c>
      <c r="G20" s="41">
        <f>+ENE!G20+FEB!G20+MAR!G20+ABR!G20+MAY!G20+JUN!G20+JUL!G20+AGOS!G20+SEPT!G20+OCT!G20+NOV!G20+DIC!G20</f>
        <v>1111</v>
      </c>
      <c r="H20" s="41">
        <f>+ENE!H20+FEB!H20+MAR!H20+ABR!H20+MAY!H20+JUN!H20+JUL!H20+AGOS!H20+SEPT!H20+OCT!H20+NOV!H20+DIC!H20</f>
        <v>1067</v>
      </c>
      <c r="I20" s="46">
        <f>+ENE!I20+FEB!I20+MAR!I20+ABR!I20+MAY!I20+JUN!I20+JUL!I20+AGOS!I20+SEPT!I20+OCT!I20+NOV!I20+DIC!I20</f>
        <v>455</v>
      </c>
      <c r="J20" s="57">
        <f t="shared" si="0"/>
        <v>4818</v>
      </c>
    </row>
    <row r="21" spans="1:10" ht="14.25" thickBot="1">
      <c r="A21" s="33">
        <f t="shared" si="1"/>
        <v>17</v>
      </c>
      <c r="B21" s="223"/>
      <c r="C21" s="126"/>
      <c r="D21" s="129" t="s">
        <v>17</v>
      </c>
      <c r="E21" s="47">
        <f>+ENE!E21+FEB!E21+MAR!E21+ABR!E21+MAY!E21+JUN!E21+JUL!E21+AGOS!E21+SEPT!E21+OCT!E21+NOV!E21+DIC!E21</f>
        <v>38289.4</v>
      </c>
      <c r="F21" s="48">
        <f>+ENE!F21+FEB!F21+MAR!F21+ABR!F21+MAY!F21+JUN!F21+JUL!F21+AGOS!F21+SEPT!F21+OCT!F21+NOV!F21+DIC!F21</f>
        <v>44819.6</v>
      </c>
      <c r="G21" s="48">
        <f>+ENE!G21+FEB!G21+MAR!G21+ABR!G21+MAY!G21+JUN!G21+JUL!G21+AGOS!G21+SEPT!G21+OCT!G21+NOV!G21+DIC!G21</f>
        <v>48756</v>
      </c>
      <c r="H21" s="48">
        <f>+ENE!H21+FEB!H21+MAR!H21+ABR!H21+MAY!H21+JUN!H21+JUL!H21+AGOS!H21+SEPT!H21+OCT!H21+NOV!H21+DIC!H21</f>
        <v>50727</v>
      </c>
      <c r="I21" s="49">
        <f>+ENE!I21+FEB!I21+MAR!I21+ABR!I21+MAY!I21+JUN!I21+JUL!I21+AGOS!I21+SEPT!I21+OCT!I21+NOV!I21+DIC!I21</f>
        <v>21176</v>
      </c>
      <c r="J21" s="58">
        <f t="shared" si="0"/>
        <v>203768</v>
      </c>
    </row>
    <row r="22" spans="1:10" ht="14.25" thickBot="1">
      <c r="A22" s="33">
        <f t="shared" si="1"/>
        <v>18</v>
      </c>
      <c r="B22" s="223"/>
      <c r="C22" s="220" t="s">
        <v>18</v>
      </c>
      <c r="D22" s="220"/>
      <c r="E22" s="18">
        <f>E14+E16+E18+E20</f>
        <v>7582</v>
      </c>
      <c r="F22" s="19">
        <f aca="true" t="shared" si="2" ref="F22:I23">F14+F16+F18+F20</f>
        <v>6714</v>
      </c>
      <c r="G22" s="19">
        <f t="shared" si="2"/>
        <v>13349</v>
      </c>
      <c r="H22" s="19">
        <f t="shared" si="2"/>
        <v>10684</v>
      </c>
      <c r="I22" s="20">
        <f t="shared" si="2"/>
        <v>6031</v>
      </c>
      <c r="J22" s="56">
        <f t="shared" si="0"/>
        <v>44360</v>
      </c>
    </row>
    <row r="23" spans="1:10" ht="14.25" thickBot="1">
      <c r="A23" s="33">
        <f t="shared" si="1"/>
        <v>19</v>
      </c>
      <c r="B23" s="224"/>
      <c r="C23" s="227" t="s">
        <v>19</v>
      </c>
      <c r="D23" s="227"/>
      <c r="E23" s="18">
        <f>E15+E17+E19+E21</f>
        <v>605684</v>
      </c>
      <c r="F23" s="19">
        <f t="shared" si="2"/>
        <v>305570.2</v>
      </c>
      <c r="G23" s="19">
        <f t="shared" si="2"/>
        <v>870006</v>
      </c>
      <c r="H23" s="19">
        <f t="shared" si="2"/>
        <v>714826</v>
      </c>
      <c r="I23" s="20">
        <f t="shared" si="2"/>
        <v>381461.4</v>
      </c>
      <c r="J23" s="27">
        <f t="shared" si="0"/>
        <v>2877547.6</v>
      </c>
    </row>
    <row r="24" spans="1:10" ht="13.5">
      <c r="A24" s="33">
        <f t="shared" si="1"/>
        <v>20</v>
      </c>
      <c r="B24" s="192" t="s">
        <v>21</v>
      </c>
      <c r="C24" s="193"/>
      <c r="D24" s="194"/>
      <c r="E24" s="12">
        <f>E7-E12</f>
        <v>19927</v>
      </c>
      <c r="F24" s="10">
        <f>F7-F12</f>
        <v>27465</v>
      </c>
      <c r="G24" s="10">
        <f>G7-G12</f>
        <v>40406</v>
      </c>
      <c r="H24" s="10">
        <f>H7-H12</f>
        <v>57168</v>
      </c>
      <c r="I24" s="13">
        <f>I7-I12</f>
        <v>27594</v>
      </c>
      <c r="J24" s="54">
        <f t="shared" si="0"/>
        <v>172560</v>
      </c>
    </row>
    <row r="25" spans="1:10" ht="14.25" thickBot="1">
      <c r="A25" s="33">
        <f t="shared" si="1"/>
        <v>21</v>
      </c>
      <c r="B25" s="217" t="s">
        <v>22</v>
      </c>
      <c r="C25" s="218"/>
      <c r="D25" s="188"/>
      <c r="E25" s="14">
        <f>E24-E22-E13</f>
        <v>12192</v>
      </c>
      <c r="F25" s="15">
        <f>F24-F22-F13</f>
        <v>20354</v>
      </c>
      <c r="G25" s="15">
        <f>G24-G22-G13</f>
        <v>26555</v>
      </c>
      <c r="H25" s="15">
        <f>H24-H22-H13</f>
        <v>45682</v>
      </c>
      <c r="I25" s="16">
        <f>I24-I22-I13</f>
        <v>20888</v>
      </c>
      <c r="J25" s="55">
        <f t="shared" si="0"/>
        <v>125671</v>
      </c>
    </row>
    <row r="26" spans="1:10" ht="14.25" thickBot="1">
      <c r="A26" s="33">
        <f t="shared" si="1"/>
        <v>22</v>
      </c>
      <c r="B26" s="206" t="s">
        <v>23</v>
      </c>
      <c r="C26" s="207"/>
      <c r="D26" s="207"/>
      <c r="E26" s="28">
        <f aca="true" t="shared" si="3" ref="E26:J26">IF(E24=0,0,(E25+E16)/E24)</f>
        <v>0.8210468208962713</v>
      </c>
      <c r="F26" s="29">
        <f t="shared" si="3"/>
        <v>0.8743127616967049</v>
      </c>
      <c r="G26" s="29">
        <f t="shared" si="3"/>
        <v>0.8702172944612186</v>
      </c>
      <c r="H26" s="29">
        <f t="shared" si="3"/>
        <v>0.926899664147775</v>
      </c>
      <c r="I26" s="30">
        <f t="shared" si="3"/>
        <v>0.900268174240777</v>
      </c>
      <c r="J26" s="31">
        <f t="shared" si="3"/>
        <v>0.8887749188687992</v>
      </c>
    </row>
    <row r="27" spans="1:10" ht="14.25" thickBot="1">
      <c r="A27" s="33">
        <f t="shared" si="1"/>
        <v>23</v>
      </c>
      <c r="B27" s="209" t="s">
        <v>24</v>
      </c>
      <c r="C27" s="210"/>
      <c r="D27" s="210"/>
      <c r="E27" s="24">
        <f aca="true" t="shared" si="4" ref="E27:J27">+E23/E22</f>
        <v>79.88446320232129</v>
      </c>
      <c r="F27" s="25">
        <f t="shared" si="4"/>
        <v>45.51239201668156</v>
      </c>
      <c r="G27" s="25">
        <f t="shared" si="4"/>
        <v>65.17387070192524</v>
      </c>
      <c r="H27" s="25">
        <f t="shared" si="4"/>
        <v>66.90621490078622</v>
      </c>
      <c r="I27" s="26">
        <f t="shared" si="4"/>
        <v>63.25010777648815</v>
      </c>
      <c r="J27" s="27">
        <f t="shared" si="4"/>
        <v>64.86807033363391</v>
      </c>
    </row>
    <row r="28" spans="1:10" ht="6" customHeight="1">
      <c r="A28" s="1"/>
      <c r="B28" s="1"/>
      <c r="C28" s="1"/>
      <c r="D28" s="1"/>
      <c r="E28" s="2"/>
      <c r="F28" s="2"/>
      <c r="G28" s="2"/>
      <c r="H28" s="2"/>
      <c r="I28" s="2"/>
      <c r="J28" s="2"/>
    </row>
    <row r="29" spans="5:9" ht="57">
      <c r="E29" s="144" t="s">
        <v>28</v>
      </c>
      <c r="F29" s="144" t="s">
        <v>29</v>
      </c>
      <c r="G29" s="144" t="s">
        <v>3</v>
      </c>
      <c r="H29" s="144" t="s">
        <v>2</v>
      </c>
      <c r="I29" s="144" t="s">
        <v>30</v>
      </c>
    </row>
    <row r="30" spans="5:9" ht="12.75">
      <c r="E30" s="145">
        <f>+E26</f>
        <v>0.8210468208962713</v>
      </c>
      <c r="F30" s="145">
        <f>+F26</f>
        <v>0.8743127616967049</v>
      </c>
      <c r="G30" s="145">
        <f>+G26</f>
        <v>0.8702172944612186</v>
      </c>
      <c r="H30" s="145">
        <f>+H26</f>
        <v>0.926899664147775</v>
      </c>
      <c r="I30" s="145">
        <f>+I26</f>
        <v>0.900268174240777</v>
      </c>
    </row>
  </sheetData>
  <mergeCells count="21">
    <mergeCell ref="B25:D25"/>
    <mergeCell ref="B26:D26"/>
    <mergeCell ref="B27:D27"/>
    <mergeCell ref="B14:B23"/>
    <mergeCell ref="C22:D22"/>
    <mergeCell ref="C23:D23"/>
    <mergeCell ref="B24:D24"/>
    <mergeCell ref="B5:D5"/>
    <mergeCell ref="B6:D6"/>
    <mergeCell ref="B7:D7"/>
    <mergeCell ref="B8:B13"/>
    <mergeCell ref="C8:D8"/>
    <mergeCell ref="C9:D9"/>
    <mergeCell ref="C10:D10"/>
    <mergeCell ref="C11:D11"/>
    <mergeCell ref="C12:D12"/>
    <mergeCell ref="C13:D13"/>
    <mergeCell ref="A1:J1"/>
    <mergeCell ref="A2:J2"/>
    <mergeCell ref="A3:J3"/>
    <mergeCell ref="B4:D4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F33" sqref="F33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35.421875" style="0" customWidth="1"/>
    <col min="4" max="4" width="12.421875" style="0" bestFit="1" customWidth="1"/>
    <col min="5" max="7" width="8.8515625" style="0" bestFit="1" customWidth="1"/>
    <col min="8" max="8" width="7.00390625" style="0" bestFit="1" customWidth="1"/>
    <col min="9" max="9" width="8.8515625" style="0" bestFit="1" customWidth="1"/>
    <col min="10" max="10" width="8.00390625" style="0" bestFit="1" customWidth="1"/>
  </cols>
  <sheetData>
    <row r="1" spans="1:10" ht="17.25">
      <c r="A1" s="153" t="s">
        <v>25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">
      <c r="A2" s="154" t="s">
        <v>27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5.75" thickBot="1">
      <c r="A3" s="154" t="s">
        <v>31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57.75" thickBot="1">
      <c r="A4" s="79" t="s">
        <v>0</v>
      </c>
      <c r="B4" s="161" t="s">
        <v>1</v>
      </c>
      <c r="C4" s="162"/>
      <c r="D4" s="163"/>
      <c r="E4" s="103" t="s">
        <v>28</v>
      </c>
      <c r="F4" s="104" t="s">
        <v>29</v>
      </c>
      <c r="G4" s="104" t="s">
        <v>3</v>
      </c>
      <c r="H4" s="104" t="s">
        <v>2</v>
      </c>
      <c r="I4" s="130" t="s">
        <v>30</v>
      </c>
      <c r="J4" s="53" t="s">
        <v>4</v>
      </c>
    </row>
    <row r="5" spans="1:10" ht="13.5">
      <c r="A5" s="96">
        <v>1</v>
      </c>
      <c r="B5" s="156" t="s">
        <v>5</v>
      </c>
      <c r="C5" s="157"/>
      <c r="D5" s="158"/>
      <c r="E5" s="98">
        <v>1566</v>
      </c>
      <c r="F5" s="95">
        <v>2272</v>
      </c>
      <c r="G5" s="95">
        <v>2725</v>
      </c>
      <c r="H5" s="95">
        <v>4549</v>
      </c>
      <c r="I5" s="131">
        <v>1873</v>
      </c>
      <c r="J5" s="138">
        <f aca="true" t="shared" si="0" ref="J5:J25">SUM(E5:I5)</f>
        <v>12985</v>
      </c>
    </row>
    <row r="6" spans="1:10" ht="13.5">
      <c r="A6" s="97">
        <f>A5+1</f>
        <v>2</v>
      </c>
      <c r="B6" s="151" t="s">
        <v>6</v>
      </c>
      <c r="C6" s="152"/>
      <c r="D6" s="150"/>
      <c r="E6" s="99">
        <v>9</v>
      </c>
      <c r="F6" s="9"/>
      <c r="G6" s="9">
        <v>14</v>
      </c>
      <c r="H6" s="9">
        <v>42</v>
      </c>
      <c r="I6" s="132">
        <v>40</v>
      </c>
      <c r="J6" s="139">
        <f t="shared" si="0"/>
        <v>105</v>
      </c>
    </row>
    <row r="7" spans="1:10" ht="13.5">
      <c r="A7" s="97">
        <f aca="true" t="shared" si="1" ref="A7:A27">A6+1</f>
        <v>3</v>
      </c>
      <c r="B7" s="151" t="s">
        <v>20</v>
      </c>
      <c r="C7" s="152"/>
      <c r="D7" s="150"/>
      <c r="E7" s="100">
        <f>SUM(E5:E6)</f>
        <v>1575</v>
      </c>
      <c r="F7" s="41">
        <f>SUM(F5:F6)</f>
        <v>2272</v>
      </c>
      <c r="G7" s="41">
        <f>SUM(G5:G6)</f>
        <v>2739</v>
      </c>
      <c r="H7" s="41">
        <f>SUM(H5:H6)</f>
        <v>4591</v>
      </c>
      <c r="I7" s="133">
        <f>SUM(I5:I6)</f>
        <v>1913</v>
      </c>
      <c r="J7" s="139">
        <f t="shared" si="0"/>
        <v>13090</v>
      </c>
    </row>
    <row r="8" spans="1:10" ht="13.5">
      <c r="A8" s="97">
        <f t="shared" si="1"/>
        <v>4</v>
      </c>
      <c r="B8" s="159" t="s">
        <v>7</v>
      </c>
      <c r="C8" s="152" t="s">
        <v>8</v>
      </c>
      <c r="D8" s="150"/>
      <c r="E8" s="99">
        <v>24</v>
      </c>
      <c r="F8" s="9">
        <v>7</v>
      </c>
      <c r="G8" s="9">
        <v>13</v>
      </c>
      <c r="H8" s="9"/>
      <c r="I8" s="132"/>
      <c r="J8" s="139">
        <f t="shared" si="0"/>
        <v>44</v>
      </c>
    </row>
    <row r="9" spans="1:10" ht="13.5">
      <c r="A9" s="97">
        <f t="shared" si="1"/>
        <v>5</v>
      </c>
      <c r="B9" s="159"/>
      <c r="C9" s="152" t="s">
        <v>9</v>
      </c>
      <c r="D9" s="150"/>
      <c r="E9" s="99">
        <v>2</v>
      </c>
      <c r="F9" s="9">
        <v>33</v>
      </c>
      <c r="G9" s="9">
        <v>44</v>
      </c>
      <c r="H9" s="9">
        <v>108</v>
      </c>
      <c r="I9" s="132">
        <v>49</v>
      </c>
      <c r="J9" s="139">
        <f t="shared" si="0"/>
        <v>236</v>
      </c>
    </row>
    <row r="10" spans="1:10" ht="13.5">
      <c r="A10" s="97">
        <f t="shared" si="1"/>
        <v>6</v>
      </c>
      <c r="B10" s="159"/>
      <c r="C10" s="152" t="s">
        <v>10</v>
      </c>
      <c r="D10" s="150"/>
      <c r="E10" s="99">
        <v>9</v>
      </c>
      <c r="F10" s="9">
        <v>20</v>
      </c>
      <c r="G10" s="9">
        <v>50</v>
      </c>
      <c r="H10" s="9">
        <v>53</v>
      </c>
      <c r="I10" s="132">
        <v>66</v>
      </c>
      <c r="J10" s="139">
        <f t="shared" si="0"/>
        <v>198</v>
      </c>
    </row>
    <row r="11" spans="1:10" ht="13.5">
      <c r="A11" s="97">
        <f t="shared" si="1"/>
        <v>7</v>
      </c>
      <c r="B11" s="159"/>
      <c r="C11" s="152" t="s">
        <v>11</v>
      </c>
      <c r="D11" s="150"/>
      <c r="E11" s="99"/>
      <c r="F11" s="9">
        <v>4</v>
      </c>
      <c r="G11" s="9"/>
      <c r="H11" s="9">
        <v>7</v>
      </c>
      <c r="I11" s="132">
        <v>17</v>
      </c>
      <c r="J11" s="139">
        <f t="shared" si="0"/>
        <v>28</v>
      </c>
    </row>
    <row r="12" spans="1:10" ht="13.5">
      <c r="A12" s="97">
        <f t="shared" si="1"/>
        <v>8</v>
      </c>
      <c r="B12" s="159"/>
      <c r="C12" s="152" t="s">
        <v>12</v>
      </c>
      <c r="D12" s="150"/>
      <c r="E12" s="101">
        <f>E8+E9</f>
        <v>26</v>
      </c>
      <c r="F12" s="93">
        <f>F8+F9</f>
        <v>40</v>
      </c>
      <c r="G12" s="93">
        <f>G8+G9</f>
        <v>57</v>
      </c>
      <c r="H12" s="93">
        <f>H8+H9</f>
        <v>108</v>
      </c>
      <c r="I12" s="134">
        <f>I8+I9</f>
        <v>49</v>
      </c>
      <c r="J12" s="139">
        <f t="shared" si="0"/>
        <v>280</v>
      </c>
    </row>
    <row r="13" spans="1:10" ht="13.5">
      <c r="A13" s="97">
        <f t="shared" si="1"/>
        <v>9</v>
      </c>
      <c r="B13" s="159"/>
      <c r="C13" s="152" t="s">
        <v>13</v>
      </c>
      <c r="D13" s="150"/>
      <c r="E13" s="101">
        <f>E10+E11</f>
        <v>9</v>
      </c>
      <c r="F13" s="93">
        <f>F10+F11</f>
        <v>24</v>
      </c>
      <c r="G13" s="93">
        <f>G10+G11</f>
        <v>50</v>
      </c>
      <c r="H13" s="93">
        <f>H10+H11</f>
        <v>60</v>
      </c>
      <c r="I13" s="134">
        <f>I10+I11</f>
        <v>83</v>
      </c>
      <c r="J13" s="139">
        <f t="shared" si="0"/>
        <v>226</v>
      </c>
    </row>
    <row r="14" spans="1:10" ht="13.5">
      <c r="A14" s="97">
        <f t="shared" si="1"/>
        <v>10</v>
      </c>
      <c r="B14" s="159" t="s">
        <v>14</v>
      </c>
      <c r="C14" s="92" t="s">
        <v>15</v>
      </c>
      <c r="D14" s="102" t="s">
        <v>16</v>
      </c>
      <c r="E14" s="99"/>
      <c r="F14" s="9"/>
      <c r="G14" s="9"/>
      <c r="H14" s="9"/>
      <c r="I14" s="132"/>
      <c r="J14" s="139">
        <f t="shared" si="0"/>
        <v>0</v>
      </c>
    </row>
    <row r="15" spans="1:10" ht="13.5">
      <c r="A15" s="97">
        <f t="shared" si="1"/>
        <v>11</v>
      </c>
      <c r="B15" s="159"/>
      <c r="C15" s="94"/>
      <c r="D15" s="102" t="s">
        <v>17</v>
      </c>
      <c r="E15" s="99"/>
      <c r="F15" s="9"/>
      <c r="G15" s="9"/>
      <c r="H15" s="9"/>
      <c r="I15" s="132"/>
      <c r="J15" s="139">
        <f t="shared" si="0"/>
        <v>0</v>
      </c>
    </row>
    <row r="16" spans="1:10" ht="13.5">
      <c r="A16" s="97">
        <f t="shared" si="1"/>
        <v>12</v>
      </c>
      <c r="B16" s="159"/>
      <c r="C16" s="92" t="s">
        <v>9</v>
      </c>
      <c r="D16" s="102" t="s">
        <v>16</v>
      </c>
      <c r="E16" s="99">
        <v>191</v>
      </c>
      <c r="F16" s="9">
        <v>429</v>
      </c>
      <c r="G16" s="9">
        <v>566</v>
      </c>
      <c r="H16" s="9">
        <v>556</v>
      </c>
      <c r="I16" s="132">
        <v>377</v>
      </c>
      <c r="J16" s="139">
        <f t="shared" si="0"/>
        <v>2119</v>
      </c>
    </row>
    <row r="17" spans="1:10" ht="13.5">
      <c r="A17" s="97">
        <f t="shared" si="1"/>
        <v>13</v>
      </c>
      <c r="B17" s="159"/>
      <c r="C17" s="94"/>
      <c r="D17" s="102" t="s">
        <v>17</v>
      </c>
      <c r="E17" s="99">
        <v>18558</v>
      </c>
      <c r="F17" s="9">
        <v>21770</v>
      </c>
      <c r="G17" s="9">
        <v>32100</v>
      </c>
      <c r="H17" s="9">
        <v>30781</v>
      </c>
      <c r="I17" s="132">
        <v>22628</v>
      </c>
      <c r="J17" s="139">
        <f t="shared" si="0"/>
        <v>125837</v>
      </c>
    </row>
    <row r="18" spans="1:10" ht="13.5">
      <c r="A18" s="97">
        <f t="shared" si="1"/>
        <v>14</v>
      </c>
      <c r="B18" s="159"/>
      <c r="C18" s="92" t="s">
        <v>10</v>
      </c>
      <c r="D18" s="102" t="s">
        <v>16</v>
      </c>
      <c r="E18" s="99">
        <v>285</v>
      </c>
      <c r="F18" s="9">
        <v>56</v>
      </c>
      <c r="G18" s="9">
        <v>226</v>
      </c>
      <c r="H18" s="9">
        <v>179</v>
      </c>
      <c r="I18" s="132">
        <v>125</v>
      </c>
      <c r="J18" s="139">
        <f t="shared" si="0"/>
        <v>871</v>
      </c>
    </row>
    <row r="19" spans="1:10" ht="13.5">
      <c r="A19" s="97">
        <f t="shared" si="1"/>
        <v>15</v>
      </c>
      <c r="B19" s="159"/>
      <c r="C19" s="94"/>
      <c r="D19" s="102" t="s">
        <v>17</v>
      </c>
      <c r="E19" s="99">
        <v>18267</v>
      </c>
      <c r="F19" s="9">
        <v>2626</v>
      </c>
      <c r="G19" s="9">
        <v>15240</v>
      </c>
      <c r="H19" s="9">
        <v>10626</v>
      </c>
      <c r="I19" s="132">
        <v>9548</v>
      </c>
      <c r="J19" s="139">
        <f t="shared" si="0"/>
        <v>56307</v>
      </c>
    </row>
    <row r="20" spans="1:10" ht="13.5">
      <c r="A20" s="97">
        <f t="shared" si="1"/>
        <v>16</v>
      </c>
      <c r="B20" s="159"/>
      <c r="C20" s="92" t="s">
        <v>11</v>
      </c>
      <c r="D20" s="102" t="s">
        <v>16</v>
      </c>
      <c r="E20" s="99">
        <v>48</v>
      </c>
      <c r="F20" s="9">
        <v>88</v>
      </c>
      <c r="G20" s="9">
        <v>11</v>
      </c>
      <c r="H20" s="9">
        <v>111</v>
      </c>
      <c r="I20" s="132">
        <v>33</v>
      </c>
      <c r="J20" s="139">
        <f t="shared" si="0"/>
        <v>291</v>
      </c>
    </row>
    <row r="21" spans="1:10" ht="13.5">
      <c r="A21" s="97">
        <f t="shared" si="1"/>
        <v>17</v>
      </c>
      <c r="B21" s="159"/>
      <c r="C21" s="94"/>
      <c r="D21" s="102" t="s">
        <v>17</v>
      </c>
      <c r="E21" s="99">
        <v>2503</v>
      </c>
      <c r="F21" s="9">
        <v>5885</v>
      </c>
      <c r="G21" s="9">
        <v>240</v>
      </c>
      <c r="H21" s="9">
        <v>4204</v>
      </c>
      <c r="I21" s="132">
        <v>2701</v>
      </c>
      <c r="J21" s="139">
        <f t="shared" si="0"/>
        <v>15533</v>
      </c>
    </row>
    <row r="22" spans="1:10" ht="13.5">
      <c r="A22" s="97">
        <f t="shared" si="1"/>
        <v>18</v>
      </c>
      <c r="B22" s="159"/>
      <c r="C22" s="152" t="s">
        <v>18</v>
      </c>
      <c r="D22" s="150"/>
      <c r="E22" s="100">
        <f>E14+E16+E18+E20</f>
        <v>524</v>
      </c>
      <c r="F22" s="41">
        <f aca="true" t="shared" si="2" ref="F22:I23">F14+F16+F18+F20</f>
        <v>573</v>
      </c>
      <c r="G22" s="41">
        <f t="shared" si="2"/>
        <v>803</v>
      </c>
      <c r="H22" s="41">
        <f t="shared" si="2"/>
        <v>846</v>
      </c>
      <c r="I22" s="133">
        <f t="shared" si="2"/>
        <v>535</v>
      </c>
      <c r="J22" s="139">
        <f t="shared" si="0"/>
        <v>3281</v>
      </c>
    </row>
    <row r="23" spans="1:10" ht="14.25" thickBot="1">
      <c r="A23" s="97">
        <f t="shared" si="1"/>
        <v>19</v>
      </c>
      <c r="B23" s="160"/>
      <c r="C23" s="167" t="s">
        <v>19</v>
      </c>
      <c r="D23" s="168"/>
      <c r="E23" s="100">
        <f>E15+E17+E19+E21</f>
        <v>39328</v>
      </c>
      <c r="F23" s="41">
        <f t="shared" si="2"/>
        <v>30281</v>
      </c>
      <c r="G23" s="41">
        <f t="shared" si="2"/>
        <v>47580</v>
      </c>
      <c r="H23" s="41">
        <f t="shared" si="2"/>
        <v>45611</v>
      </c>
      <c r="I23" s="133">
        <f t="shared" si="2"/>
        <v>34877</v>
      </c>
      <c r="J23" s="139">
        <f t="shared" si="0"/>
        <v>197677</v>
      </c>
    </row>
    <row r="24" spans="1:10" ht="13.5">
      <c r="A24" s="97">
        <f t="shared" si="1"/>
        <v>20</v>
      </c>
      <c r="B24" s="156" t="s">
        <v>21</v>
      </c>
      <c r="C24" s="157"/>
      <c r="D24" s="158"/>
      <c r="E24" s="100">
        <f>E7-E12</f>
        <v>1549</v>
      </c>
      <c r="F24" s="41">
        <f>F7-F12</f>
        <v>2232</v>
      </c>
      <c r="G24" s="41">
        <f>G7-G12</f>
        <v>2682</v>
      </c>
      <c r="H24" s="41">
        <f>H7-H12</f>
        <v>4483</v>
      </c>
      <c r="I24" s="133">
        <f>I7-I12</f>
        <v>1864</v>
      </c>
      <c r="J24" s="139">
        <f t="shared" si="0"/>
        <v>12810</v>
      </c>
    </row>
    <row r="25" spans="1:10" ht="14.25" thickBot="1">
      <c r="A25" s="97">
        <f t="shared" si="1"/>
        <v>21</v>
      </c>
      <c r="B25" s="178" t="s">
        <v>22</v>
      </c>
      <c r="C25" s="167"/>
      <c r="D25" s="168"/>
      <c r="E25" s="111">
        <f>E24-E22-E13</f>
        <v>1016</v>
      </c>
      <c r="F25" s="112">
        <f>F24-F22-F13</f>
        <v>1635</v>
      </c>
      <c r="G25" s="112">
        <f>G24-G22-G13</f>
        <v>1829</v>
      </c>
      <c r="H25" s="112">
        <f>H24-H22-H13</f>
        <v>3577</v>
      </c>
      <c r="I25" s="135">
        <f>I24-I22-I13</f>
        <v>1246</v>
      </c>
      <c r="J25" s="140">
        <f t="shared" si="0"/>
        <v>9303</v>
      </c>
    </row>
    <row r="26" spans="1:10" ht="14.25" thickBot="1">
      <c r="A26" s="97">
        <f t="shared" si="1"/>
        <v>22</v>
      </c>
      <c r="B26" s="175" t="s">
        <v>23</v>
      </c>
      <c r="C26" s="176"/>
      <c r="D26" s="177"/>
      <c r="E26" s="120">
        <f aca="true" t="shared" si="3" ref="E26:J26">IF(E24=0,0,(E25+E16)/E24)</f>
        <v>0.7792123950936087</v>
      </c>
      <c r="F26" s="117">
        <f t="shared" si="3"/>
        <v>0.9247311827956989</v>
      </c>
      <c r="G26" s="117">
        <f t="shared" si="3"/>
        <v>0.8929903057419836</v>
      </c>
      <c r="H26" s="117">
        <f t="shared" si="3"/>
        <v>0.9219272808387241</v>
      </c>
      <c r="I26" s="136">
        <f t="shared" si="3"/>
        <v>0.8707081545064378</v>
      </c>
      <c r="J26" s="31">
        <f t="shared" si="3"/>
        <v>0.891647150663544</v>
      </c>
    </row>
    <row r="27" spans="1:10" ht="14.25" thickBot="1">
      <c r="A27" s="97">
        <f t="shared" si="1"/>
        <v>23</v>
      </c>
      <c r="B27" s="175" t="s">
        <v>24</v>
      </c>
      <c r="C27" s="176"/>
      <c r="D27" s="177"/>
      <c r="E27" s="119">
        <f aca="true" t="shared" si="4" ref="E27:J27">+E23/E22</f>
        <v>75.05343511450381</v>
      </c>
      <c r="F27" s="114">
        <f t="shared" si="4"/>
        <v>52.846422338568935</v>
      </c>
      <c r="G27" s="114">
        <f t="shared" si="4"/>
        <v>59.25280199252802</v>
      </c>
      <c r="H27" s="114">
        <f t="shared" si="4"/>
        <v>53.913711583924346</v>
      </c>
      <c r="I27" s="137">
        <f t="shared" si="4"/>
        <v>65.19065420560747</v>
      </c>
      <c r="J27" s="27">
        <f t="shared" si="4"/>
        <v>60.249009448338924</v>
      </c>
    </row>
    <row r="28" spans="1:10" ht="13.5">
      <c r="A28" s="1"/>
      <c r="B28" s="1"/>
      <c r="C28" s="1"/>
      <c r="D28" s="1"/>
      <c r="E28" s="2"/>
      <c r="F28" s="2"/>
      <c r="G28" s="2"/>
      <c r="H28" s="2"/>
      <c r="I28" s="2"/>
      <c r="J28" s="2"/>
    </row>
  </sheetData>
  <mergeCells count="21">
    <mergeCell ref="A1:J1"/>
    <mergeCell ref="A2:J2"/>
    <mergeCell ref="A3:J3"/>
    <mergeCell ref="B4:D4"/>
    <mergeCell ref="B5:D5"/>
    <mergeCell ref="B6:D6"/>
    <mergeCell ref="B7:D7"/>
    <mergeCell ref="B8:B13"/>
    <mergeCell ref="C8:D8"/>
    <mergeCell ref="C9:D9"/>
    <mergeCell ref="C10:D10"/>
    <mergeCell ref="C11:D11"/>
    <mergeCell ref="C12:D12"/>
    <mergeCell ref="C13:D13"/>
    <mergeCell ref="B25:D25"/>
    <mergeCell ref="B26:D26"/>
    <mergeCell ref="B27:D27"/>
    <mergeCell ref="B14:B23"/>
    <mergeCell ref="C22:D22"/>
    <mergeCell ref="C23:D23"/>
    <mergeCell ref="B24:D24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6" sqref="A6:A27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35.421875" style="0" customWidth="1"/>
    <col min="4" max="4" width="12.421875" style="0" bestFit="1" customWidth="1"/>
    <col min="5" max="7" width="8.8515625" style="0" bestFit="1" customWidth="1"/>
    <col min="8" max="9" width="7.00390625" style="0" bestFit="1" customWidth="1"/>
    <col min="10" max="10" width="8.00390625" style="0" bestFit="1" customWidth="1"/>
  </cols>
  <sheetData>
    <row r="1" spans="1:10" ht="17.25">
      <c r="A1" s="153" t="s">
        <v>25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">
      <c r="A2" s="154" t="s">
        <v>27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5.75" thickBot="1">
      <c r="A3" s="154" t="s">
        <v>32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57.75" thickBot="1">
      <c r="A4" s="79" t="s">
        <v>0</v>
      </c>
      <c r="B4" s="161" t="s">
        <v>1</v>
      </c>
      <c r="C4" s="162"/>
      <c r="D4" s="163"/>
      <c r="E4" s="103" t="s">
        <v>28</v>
      </c>
      <c r="F4" s="104" t="s">
        <v>29</v>
      </c>
      <c r="G4" s="104" t="s">
        <v>3</v>
      </c>
      <c r="H4" s="104" t="s">
        <v>2</v>
      </c>
      <c r="I4" s="130" t="s">
        <v>30</v>
      </c>
      <c r="J4" s="53" t="s">
        <v>4</v>
      </c>
    </row>
    <row r="5" spans="1:10" ht="13.5">
      <c r="A5" s="96">
        <v>1</v>
      </c>
      <c r="B5" s="156" t="s">
        <v>5</v>
      </c>
      <c r="C5" s="157"/>
      <c r="D5" s="158"/>
      <c r="E5" s="109">
        <v>1703</v>
      </c>
      <c r="F5" s="107">
        <v>2363</v>
      </c>
      <c r="G5" s="108">
        <v>3250</v>
      </c>
      <c r="H5" s="108">
        <v>4931</v>
      </c>
      <c r="I5" s="141">
        <v>2088</v>
      </c>
      <c r="J5" s="138">
        <f aca="true" t="shared" si="0" ref="J5:J25">SUM(E5:I5)</f>
        <v>14335</v>
      </c>
    </row>
    <row r="6" spans="1:10" ht="13.5">
      <c r="A6" s="97">
        <f>A5+1</f>
        <v>2</v>
      </c>
      <c r="B6" s="151" t="s">
        <v>6</v>
      </c>
      <c r="C6" s="152"/>
      <c r="D6" s="150"/>
      <c r="E6" s="100">
        <v>28</v>
      </c>
      <c r="F6" s="41"/>
      <c r="G6" s="93">
        <v>4</v>
      </c>
      <c r="H6" s="93">
        <v>73</v>
      </c>
      <c r="I6" s="133">
        <v>62</v>
      </c>
      <c r="J6" s="139">
        <f t="shared" si="0"/>
        <v>167</v>
      </c>
    </row>
    <row r="7" spans="1:10" ht="13.5">
      <c r="A7" s="97">
        <f aca="true" t="shared" si="1" ref="A7:A27">A6+1</f>
        <v>3</v>
      </c>
      <c r="B7" s="151" t="s">
        <v>20</v>
      </c>
      <c r="C7" s="152"/>
      <c r="D7" s="150"/>
      <c r="E7" s="100">
        <f>SUM(E5:E6)</f>
        <v>1731</v>
      </c>
      <c r="F7" s="41">
        <f>SUM(F5:F6)</f>
        <v>2363</v>
      </c>
      <c r="G7" s="41">
        <f>SUM(G5:G6)</f>
        <v>3254</v>
      </c>
      <c r="H7" s="41">
        <f>SUM(H5:H6)</f>
        <v>5004</v>
      </c>
      <c r="I7" s="133">
        <f>SUM(I5:I6)</f>
        <v>2150</v>
      </c>
      <c r="J7" s="139">
        <f t="shared" si="0"/>
        <v>14502</v>
      </c>
    </row>
    <row r="8" spans="1:10" ht="13.5">
      <c r="A8" s="97">
        <f t="shared" si="1"/>
        <v>4</v>
      </c>
      <c r="B8" s="159" t="s">
        <v>7</v>
      </c>
      <c r="C8" s="152" t="s">
        <v>8</v>
      </c>
      <c r="D8" s="150"/>
      <c r="E8" s="110">
        <v>33</v>
      </c>
      <c r="F8" s="105">
        <v>2</v>
      </c>
      <c r="G8" s="106"/>
      <c r="H8" s="106"/>
      <c r="I8" s="142"/>
      <c r="J8" s="139">
        <f t="shared" si="0"/>
        <v>35</v>
      </c>
    </row>
    <row r="9" spans="1:10" ht="13.5">
      <c r="A9" s="97">
        <f t="shared" si="1"/>
        <v>5</v>
      </c>
      <c r="B9" s="159"/>
      <c r="C9" s="152" t="s">
        <v>9</v>
      </c>
      <c r="D9" s="150"/>
      <c r="E9" s="100">
        <v>84</v>
      </c>
      <c r="F9" s="105">
        <v>16</v>
      </c>
      <c r="G9" s="106">
        <v>55</v>
      </c>
      <c r="H9" s="106">
        <v>123</v>
      </c>
      <c r="I9" s="142">
        <v>52</v>
      </c>
      <c r="J9" s="139">
        <f t="shared" si="0"/>
        <v>330</v>
      </c>
    </row>
    <row r="10" spans="1:10" ht="13.5">
      <c r="A10" s="97">
        <f t="shared" si="1"/>
        <v>6</v>
      </c>
      <c r="B10" s="159"/>
      <c r="C10" s="152" t="s">
        <v>10</v>
      </c>
      <c r="D10" s="150"/>
      <c r="E10" s="100"/>
      <c r="F10" s="105">
        <v>14</v>
      </c>
      <c r="G10" s="106">
        <v>20</v>
      </c>
      <c r="H10" s="106">
        <v>119</v>
      </c>
      <c r="I10" s="142">
        <v>90</v>
      </c>
      <c r="J10" s="139">
        <f t="shared" si="0"/>
        <v>243</v>
      </c>
    </row>
    <row r="11" spans="1:10" ht="13.5">
      <c r="A11" s="97">
        <f t="shared" si="1"/>
        <v>7</v>
      </c>
      <c r="B11" s="159"/>
      <c r="C11" s="152" t="s">
        <v>11</v>
      </c>
      <c r="D11" s="150"/>
      <c r="E11" s="100"/>
      <c r="F11" s="105">
        <v>2</v>
      </c>
      <c r="G11" s="106">
        <v>10</v>
      </c>
      <c r="H11" s="106">
        <v>38</v>
      </c>
      <c r="I11" s="142">
        <v>5</v>
      </c>
      <c r="J11" s="139">
        <f t="shared" si="0"/>
        <v>55</v>
      </c>
    </row>
    <row r="12" spans="1:10" ht="13.5">
      <c r="A12" s="97">
        <f t="shared" si="1"/>
        <v>8</v>
      </c>
      <c r="B12" s="159"/>
      <c r="C12" s="152" t="s">
        <v>12</v>
      </c>
      <c r="D12" s="150"/>
      <c r="E12" s="101">
        <f>E8+E9</f>
        <v>117</v>
      </c>
      <c r="F12" s="93">
        <f>F8+F9</f>
        <v>18</v>
      </c>
      <c r="G12" s="93">
        <f>G8+G9</f>
        <v>55</v>
      </c>
      <c r="H12" s="93">
        <f>H8+H9</f>
        <v>123</v>
      </c>
      <c r="I12" s="134">
        <f>I8+I9</f>
        <v>52</v>
      </c>
      <c r="J12" s="139">
        <f t="shared" si="0"/>
        <v>365</v>
      </c>
    </row>
    <row r="13" spans="1:10" ht="13.5">
      <c r="A13" s="97">
        <f t="shared" si="1"/>
        <v>9</v>
      </c>
      <c r="B13" s="159"/>
      <c r="C13" s="152" t="s">
        <v>13</v>
      </c>
      <c r="D13" s="150"/>
      <c r="E13" s="101">
        <f>E10+E11</f>
        <v>0</v>
      </c>
      <c r="F13" s="93">
        <f>F10+F11</f>
        <v>16</v>
      </c>
      <c r="G13" s="93">
        <f>G10+G11</f>
        <v>30</v>
      </c>
      <c r="H13" s="93">
        <f>H10+H11</f>
        <v>157</v>
      </c>
      <c r="I13" s="134">
        <f>I10+I11</f>
        <v>95</v>
      </c>
      <c r="J13" s="139">
        <f t="shared" si="0"/>
        <v>298</v>
      </c>
    </row>
    <row r="14" spans="1:10" ht="13.5">
      <c r="A14" s="97">
        <f t="shared" si="1"/>
        <v>10</v>
      </c>
      <c r="B14" s="159" t="s">
        <v>14</v>
      </c>
      <c r="C14" s="92" t="s">
        <v>15</v>
      </c>
      <c r="D14" s="102" t="s">
        <v>16</v>
      </c>
      <c r="E14" s="100"/>
      <c r="F14" s="41">
        <v>1</v>
      </c>
      <c r="G14" s="93"/>
      <c r="H14" s="93"/>
      <c r="I14" s="133"/>
      <c r="J14" s="139">
        <f t="shared" si="0"/>
        <v>1</v>
      </c>
    </row>
    <row r="15" spans="1:10" ht="13.5">
      <c r="A15" s="97">
        <f t="shared" si="1"/>
        <v>11</v>
      </c>
      <c r="B15" s="159"/>
      <c r="C15" s="94"/>
      <c r="D15" s="102" t="s">
        <v>17</v>
      </c>
      <c r="E15" s="100"/>
      <c r="F15" s="93">
        <v>9</v>
      </c>
      <c r="G15" s="93"/>
      <c r="H15" s="93"/>
      <c r="I15" s="134"/>
      <c r="J15" s="139">
        <f t="shared" si="0"/>
        <v>9</v>
      </c>
    </row>
    <row r="16" spans="1:10" ht="13.5">
      <c r="A16" s="97">
        <f t="shared" si="1"/>
        <v>12</v>
      </c>
      <c r="B16" s="159"/>
      <c r="C16" s="92" t="s">
        <v>9</v>
      </c>
      <c r="D16" s="102" t="s">
        <v>16</v>
      </c>
      <c r="E16" s="100">
        <v>460</v>
      </c>
      <c r="F16" s="41">
        <v>243</v>
      </c>
      <c r="G16" s="93">
        <v>283</v>
      </c>
      <c r="H16" s="93">
        <v>736</v>
      </c>
      <c r="I16" s="133">
        <v>290</v>
      </c>
      <c r="J16" s="139">
        <f t="shared" si="0"/>
        <v>2012</v>
      </c>
    </row>
    <row r="17" spans="1:10" ht="13.5">
      <c r="A17" s="97">
        <f t="shared" si="1"/>
        <v>13</v>
      </c>
      <c r="B17" s="159"/>
      <c r="C17" s="94"/>
      <c r="D17" s="102" t="s">
        <v>17</v>
      </c>
      <c r="E17" s="100">
        <f>891.17*60</f>
        <v>53470.2</v>
      </c>
      <c r="F17" s="41">
        <f>168*60+45</f>
        <v>10125</v>
      </c>
      <c r="G17" s="93">
        <f>940*60</f>
        <v>56400</v>
      </c>
      <c r="H17" s="93">
        <f>706.1*60</f>
        <v>42366</v>
      </c>
      <c r="I17" s="134">
        <f>258*60</f>
        <v>15480</v>
      </c>
      <c r="J17" s="139">
        <f t="shared" si="0"/>
        <v>177841.2</v>
      </c>
    </row>
    <row r="18" spans="1:10" ht="13.5">
      <c r="A18" s="97">
        <f t="shared" si="1"/>
        <v>14</v>
      </c>
      <c r="B18" s="159"/>
      <c r="C18" s="92" t="s">
        <v>10</v>
      </c>
      <c r="D18" s="102" t="s">
        <v>16</v>
      </c>
      <c r="E18" s="100">
        <v>143</v>
      </c>
      <c r="F18" s="41">
        <v>118</v>
      </c>
      <c r="G18" s="93">
        <v>272</v>
      </c>
      <c r="H18" s="93">
        <v>197</v>
      </c>
      <c r="I18" s="133">
        <v>157</v>
      </c>
      <c r="J18" s="139">
        <f t="shared" si="0"/>
        <v>887</v>
      </c>
    </row>
    <row r="19" spans="1:10" ht="13.5">
      <c r="A19" s="97">
        <f t="shared" si="1"/>
        <v>15</v>
      </c>
      <c r="B19" s="159"/>
      <c r="C19" s="94"/>
      <c r="D19" s="102" t="s">
        <v>17</v>
      </c>
      <c r="E19" s="100">
        <f>161.32*60</f>
        <v>9679.199999999999</v>
      </c>
      <c r="F19" s="93">
        <f>120*60+24</f>
        <v>7224</v>
      </c>
      <c r="G19" s="93">
        <f>265.5*60</f>
        <v>15930</v>
      </c>
      <c r="H19" s="93">
        <f>244.3*60</f>
        <v>14658</v>
      </c>
      <c r="I19" s="134">
        <f>164.8*60</f>
        <v>9888</v>
      </c>
      <c r="J19" s="139">
        <f t="shared" si="0"/>
        <v>57379.2</v>
      </c>
    </row>
    <row r="20" spans="1:10" ht="13.5">
      <c r="A20" s="97">
        <f t="shared" si="1"/>
        <v>16</v>
      </c>
      <c r="B20" s="159"/>
      <c r="C20" s="92" t="s">
        <v>11</v>
      </c>
      <c r="D20" s="102" t="s">
        <v>16</v>
      </c>
      <c r="E20" s="100">
        <v>93</v>
      </c>
      <c r="F20" s="41">
        <v>93</v>
      </c>
      <c r="G20" s="93">
        <v>29</v>
      </c>
      <c r="H20" s="93">
        <v>85</v>
      </c>
      <c r="I20" s="133">
        <v>35</v>
      </c>
      <c r="J20" s="139">
        <f t="shared" si="0"/>
        <v>335</v>
      </c>
    </row>
    <row r="21" spans="1:10" ht="13.5">
      <c r="A21" s="97">
        <f t="shared" si="1"/>
        <v>17</v>
      </c>
      <c r="B21" s="159"/>
      <c r="C21" s="94"/>
      <c r="D21" s="102" t="s">
        <v>17</v>
      </c>
      <c r="E21" s="100">
        <f>63.63*60</f>
        <v>3817.8</v>
      </c>
      <c r="F21" s="93">
        <f>42*60+55</f>
        <v>2575</v>
      </c>
      <c r="G21" s="93">
        <f>17.6*60</f>
        <v>1056</v>
      </c>
      <c r="H21" s="93">
        <f>67.9*60</f>
        <v>4074.0000000000005</v>
      </c>
      <c r="I21" s="134">
        <f>17.5*60</f>
        <v>1050</v>
      </c>
      <c r="J21" s="139">
        <f t="shared" si="0"/>
        <v>12572.800000000001</v>
      </c>
    </row>
    <row r="22" spans="1:10" ht="13.5">
      <c r="A22" s="97">
        <f t="shared" si="1"/>
        <v>18</v>
      </c>
      <c r="B22" s="159"/>
      <c r="C22" s="152" t="s">
        <v>18</v>
      </c>
      <c r="D22" s="150"/>
      <c r="E22" s="100">
        <f>E14+E16+E18+E20</f>
        <v>696</v>
      </c>
      <c r="F22" s="41">
        <f aca="true" t="shared" si="2" ref="F22:I23">F14+F16+F18+F20</f>
        <v>455</v>
      </c>
      <c r="G22" s="41">
        <f t="shared" si="2"/>
        <v>584</v>
      </c>
      <c r="H22" s="41">
        <f t="shared" si="2"/>
        <v>1018</v>
      </c>
      <c r="I22" s="133">
        <f t="shared" si="2"/>
        <v>482</v>
      </c>
      <c r="J22" s="139">
        <f t="shared" si="0"/>
        <v>3235</v>
      </c>
    </row>
    <row r="23" spans="1:10" ht="14.25" thickBot="1">
      <c r="A23" s="97">
        <f t="shared" si="1"/>
        <v>19</v>
      </c>
      <c r="B23" s="160"/>
      <c r="C23" s="167" t="s">
        <v>19</v>
      </c>
      <c r="D23" s="168"/>
      <c r="E23" s="100">
        <f>E15+E17+E19+E21</f>
        <v>66967.2</v>
      </c>
      <c r="F23" s="41">
        <f t="shared" si="2"/>
        <v>19933</v>
      </c>
      <c r="G23" s="41">
        <f t="shared" si="2"/>
        <v>73386</v>
      </c>
      <c r="H23" s="41">
        <f t="shared" si="2"/>
        <v>61098</v>
      </c>
      <c r="I23" s="133">
        <f t="shared" si="2"/>
        <v>26418</v>
      </c>
      <c r="J23" s="139">
        <f t="shared" si="0"/>
        <v>247802.2</v>
      </c>
    </row>
    <row r="24" spans="1:10" ht="13.5">
      <c r="A24" s="97">
        <f t="shared" si="1"/>
        <v>20</v>
      </c>
      <c r="B24" s="156" t="s">
        <v>21</v>
      </c>
      <c r="C24" s="157"/>
      <c r="D24" s="158"/>
      <c r="E24" s="100">
        <f>E7-E12</f>
        <v>1614</v>
      </c>
      <c r="F24" s="41">
        <f>F7-F12</f>
        <v>2345</v>
      </c>
      <c r="G24" s="41">
        <f>G7-G12</f>
        <v>3199</v>
      </c>
      <c r="H24" s="41">
        <f>H7-H12</f>
        <v>4881</v>
      </c>
      <c r="I24" s="133">
        <f>I7-I12</f>
        <v>2098</v>
      </c>
      <c r="J24" s="139">
        <f t="shared" si="0"/>
        <v>14137</v>
      </c>
    </row>
    <row r="25" spans="1:10" ht="14.25" thickBot="1">
      <c r="A25" s="97">
        <f t="shared" si="1"/>
        <v>21</v>
      </c>
      <c r="B25" s="169" t="s">
        <v>22</v>
      </c>
      <c r="C25" s="170"/>
      <c r="D25" s="171"/>
      <c r="E25" s="111">
        <f>E24-E22-E13</f>
        <v>918</v>
      </c>
      <c r="F25" s="112">
        <f>F24-F22-F13</f>
        <v>1874</v>
      </c>
      <c r="G25" s="112">
        <f>G24-G22-G13</f>
        <v>2585</v>
      </c>
      <c r="H25" s="112">
        <f>H24-H22-H13</f>
        <v>3706</v>
      </c>
      <c r="I25" s="135">
        <f>I24-I22-I13</f>
        <v>1521</v>
      </c>
      <c r="J25" s="140">
        <f t="shared" si="0"/>
        <v>10604</v>
      </c>
    </row>
    <row r="26" spans="1:10" ht="14.25" thickBot="1">
      <c r="A26" s="97">
        <f t="shared" si="1"/>
        <v>22</v>
      </c>
      <c r="B26" s="172" t="s">
        <v>23</v>
      </c>
      <c r="C26" s="173"/>
      <c r="D26" s="174"/>
      <c r="E26" s="116">
        <f aca="true" t="shared" si="3" ref="E26:J26">IF(E24=0,0,(E25+E16)/E24)</f>
        <v>0.8537794299876085</v>
      </c>
      <c r="F26" s="117">
        <f t="shared" si="3"/>
        <v>0.9027718550106609</v>
      </c>
      <c r="G26" s="117">
        <f t="shared" si="3"/>
        <v>0.896530165676774</v>
      </c>
      <c r="H26" s="117">
        <f t="shared" si="3"/>
        <v>0.9100594140544971</v>
      </c>
      <c r="I26" s="136">
        <f t="shared" si="3"/>
        <v>0.8632030505243089</v>
      </c>
      <c r="J26" s="31">
        <f t="shared" si="3"/>
        <v>0.8924099879748179</v>
      </c>
    </row>
    <row r="27" spans="1:10" ht="14.25" thickBot="1">
      <c r="A27" s="97">
        <f t="shared" si="1"/>
        <v>23</v>
      </c>
      <c r="B27" s="175" t="s">
        <v>24</v>
      </c>
      <c r="C27" s="176"/>
      <c r="D27" s="177"/>
      <c r="E27" s="113">
        <f aca="true" t="shared" si="4" ref="E27:J27">+E23/E22</f>
        <v>96.21724137931034</v>
      </c>
      <c r="F27" s="114">
        <f t="shared" si="4"/>
        <v>43.808791208791206</v>
      </c>
      <c r="G27" s="114">
        <f t="shared" si="4"/>
        <v>125.66095890410959</v>
      </c>
      <c r="H27" s="114">
        <f t="shared" si="4"/>
        <v>60.017681728880156</v>
      </c>
      <c r="I27" s="137">
        <f t="shared" si="4"/>
        <v>54.809128630705395</v>
      </c>
      <c r="J27" s="27">
        <f t="shared" si="4"/>
        <v>76.60037094281299</v>
      </c>
    </row>
    <row r="28" spans="1:10" ht="13.5">
      <c r="A28" s="1"/>
      <c r="B28" s="1"/>
      <c r="C28" s="1"/>
      <c r="D28" s="1"/>
      <c r="E28" s="2"/>
      <c r="F28" s="2"/>
      <c r="G28" s="2"/>
      <c r="H28" s="2"/>
      <c r="I28" s="2"/>
      <c r="J28" s="2"/>
    </row>
  </sheetData>
  <mergeCells count="21">
    <mergeCell ref="A1:J1"/>
    <mergeCell ref="A2:J2"/>
    <mergeCell ref="A3:J3"/>
    <mergeCell ref="B4:D4"/>
    <mergeCell ref="B5:D5"/>
    <mergeCell ref="B6:D6"/>
    <mergeCell ref="B7:D7"/>
    <mergeCell ref="B8:B13"/>
    <mergeCell ref="C8:D8"/>
    <mergeCell ref="C9:D9"/>
    <mergeCell ref="C10:D10"/>
    <mergeCell ref="C11:D11"/>
    <mergeCell ref="C12:D12"/>
    <mergeCell ref="C13:D13"/>
    <mergeCell ref="B25:D25"/>
    <mergeCell ref="B26:D26"/>
    <mergeCell ref="B27:D27"/>
    <mergeCell ref="B14:B23"/>
    <mergeCell ref="C22:D22"/>
    <mergeCell ref="C23:D23"/>
    <mergeCell ref="B24:D24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31" sqref="B31:C31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35.421875" style="0" customWidth="1"/>
    <col min="4" max="4" width="12.421875" style="0" bestFit="1" customWidth="1"/>
    <col min="5" max="7" width="8.8515625" style="0" bestFit="1" customWidth="1"/>
    <col min="8" max="9" width="7.00390625" style="0" bestFit="1" customWidth="1"/>
    <col min="10" max="10" width="8.00390625" style="0" bestFit="1" customWidth="1"/>
  </cols>
  <sheetData>
    <row r="1" spans="1:10" ht="17.25">
      <c r="A1" s="153" t="s">
        <v>25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">
      <c r="A2" s="154" t="s">
        <v>27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5.75" thickBot="1">
      <c r="A3" s="154" t="s">
        <v>33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57.75" thickBot="1">
      <c r="A4" s="79" t="s">
        <v>0</v>
      </c>
      <c r="B4" s="161" t="s">
        <v>1</v>
      </c>
      <c r="C4" s="162"/>
      <c r="D4" s="163"/>
      <c r="E4" s="103" t="s">
        <v>28</v>
      </c>
      <c r="F4" s="104" t="s">
        <v>29</v>
      </c>
      <c r="G4" s="104" t="s">
        <v>3</v>
      </c>
      <c r="H4" s="104" t="s">
        <v>2</v>
      </c>
      <c r="I4" s="130" t="s">
        <v>30</v>
      </c>
      <c r="J4" s="53" t="s">
        <v>4</v>
      </c>
    </row>
    <row r="5" spans="1:10" ht="13.5">
      <c r="A5" s="96">
        <v>1</v>
      </c>
      <c r="B5" s="156" t="s">
        <v>5</v>
      </c>
      <c r="C5" s="157"/>
      <c r="D5" s="158"/>
      <c r="E5" s="109">
        <v>1652</v>
      </c>
      <c r="F5" s="107">
        <v>2210</v>
      </c>
      <c r="G5" s="108">
        <v>3063</v>
      </c>
      <c r="H5" s="108">
        <v>4727</v>
      </c>
      <c r="I5" s="141">
        <v>2136</v>
      </c>
      <c r="J5" s="138">
        <f aca="true" t="shared" si="0" ref="J5:J25">SUM(E5:I5)</f>
        <v>13788</v>
      </c>
    </row>
    <row r="6" spans="1:10" ht="13.5">
      <c r="A6" s="97">
        <f>A5+1</f>
        <v>2</v>
      </c>
      <c r="B6" s="151" t="s">
        <v>6</v>
      </c>
      <c r="C6" s="152"/>
      <c r="D6" s="150"/>
      <c r="E6" s="100">
        <v>67</v>
      </c>
      <c r="F6" s="41"/>
      <c r="G6" s="93">
        <v>17</v>
      </c>
      <c r="H6" s="93">
        <v>25</v>
      </c>
      <c r="I6" s="133">
        <v>40</v>
      </c>
      <c r="J6" s="139">
        <f t="shared" si="0"/>
        <v>149</v>
      </c>
    </row>
    <row r="7" spans="1:10" ht="13.5">
      <c r="A7" s="97">
        <f aca="true" t="shared" si="1" ref="A7:A27">A6+1</f>
        <v>3</v>
      </c>
      <c r="B7" s="151" t="s">
        <v>20</v>
      </c>
      <c r="C7" s="152"/>
      <c r="D7" s="150"/>
      <c r="E7" s="100">
        <f>SUM(E5:E6)</f>
        <v>1719</v>
      </c>
      <c r="F7" s="41">
        <f>SUM(F5:F6)</f>
        <v>2210</v>
      </c>
      <c r="G7" s="41">
        <f>SUM(G5:G6)</f>
        <v>3080</v>
      </c>
      <c r="H7" s="41">
        <f>SUM(H5:H6)</f>
        <v>4752</v>
      </c>
      <c r="I7" s="133">
        <f>SUM(I5:I6)</f>
        <v>2176</v>
      </c>
      <c r="J7" s="139">
        <f t="shared" si="0"/>
        <v>13937</v>
      </c>
    </row>
    <row r="8" spans="1:10" ht="13.5">
      <c r="A8" s="97">
        <f t="shared" si="1"/>
        <v>4</v>
      </c>
      <c r="B8" s="159" t="s">
        <v>7</v>
      </c>
      <c r="C8" s="152" t="s">
        <v>8</v>
      </c>
      <c r="D8" s="150"/>
      <c r="E8" s="110">
        <v>58</v>
      </c>
      <c r="F8" s="105">
        <v>2</v>
      </c>
      <c r="G8" s="106">
        <v>7</v>
      </c>
      <c r="H8" s="106"/>
      <c r="I8" s="142"/>
      <c r="J8" s="139">
        <f t="shared" si="0"/>
        <v>67</v>
      </c>
    </row>
    <row r="9" spans="1:10" ht="13.5">
      <c r="A9" s="97">
        <f t="shared" si="1"/>
        <v>5</v>
      </c>
      <c r="B9" s="159"/>
      <c r="C9" s="152" t="s">
        <v>9</v>
      </c>
      <c r="D9" s="150"/>
      <c r="E9" s="100">
        <v>24</v>
      </c>
      <c r="F9" s="105">
        <v>6</v>
      </c>
      <c r="G9" s="106">
        <v>34</v>
      </c>
      <c r="H9" s="106">
        <v>134</v>
      </c>
      <c r="I9" s="142">
        <v>46</v>
      </c>
      <c r="J9" s="139">
        <f t="shared" si="0"/>
        <v>244</v>
      </c>
    </row>
    <row r="10" spans="1:10" ht="13.5">
      <c r="A10" s="97">
        <f t="shared" si="1"/>
        <v>6</v>
      </c>
      <c r="B10" s="159"/>
      <c r="C10" s="152" t="s">
        <v>10</v>
      </c>
      <c r="D10" s="150"/>
      <c r="E10" s="100">
        <v>11</v>
      </c>
      <c r="F10" s="105">
        <v>26</v>
      </c>
      <c r="G10" s="106">
        <v>38</v>
      </c>
      <c r="H10" s="106">
        <v>47</v>
      </c>
      <c r="I10" s="142">
        <v>25</v>
      </c>
      <c r="J10" s="139">
        <f t="shared" si="0"/>
        <v>147</v>
      </c>
    </row>
    <row r="11" spans="1:10" ht="13.5">
      <c r="A11" s="97">
        <f t="shared" si="1"/>
        <v>7</v>
      </c>
      <c r="B11" s="159"/>
      <c r="C11" s="152" t="s">
        <v>11</v>
      </c>
      <c r="D11" s="150"/>
      <c r="E11" s="100">
        <v>3</v>
      </c>
      <c r="F11" s="105">
        <v>2</v>
      </c>
      <c r="G11" s="106">
        <v>11</v>
      </c>
      <c r="H11" s="106">
        <v>18</v>
      </c>
      <c r="I11" s="142">
        <v>8</v>
      </c>
      <c r="J11" s="139">
        <f t="shared" si="0"/>
        <v>42</v>
      </c>
    </row>
    <row r="12" spans="1:10" ht="13.5">
      <c r="A12" s="97">
        <f t="shared" si="1"/>
        <v>8</v>
      </c>
      <c r="B12" s="159"/>
      <c r="C12" s="152" t="s">
        <v>12</v>
      </c>
      <c r="D12" s="150"/>
      <c r="E12" s="101">
        <f>E8+E9</f>
        <v>82</v>
      </c>
      <c r="F12" s="93">
        <f>F8+F9</f>
        <v>8</v>
      </c>
      <c r="G12" s="93">
        <f>G8+G9</f>
        <v>41</v>
      </c>
      <c r="H12" s="93">
        <f>H8+H9</f>
        <v>134</v>
      </c>
      <c r="I12" s="134">
        <f>I8+I9</f>
        <v>46</v>
      </c>
      <c r="J12" s="139">
        <f t="shared" si="0"/>
        <v>311</v>
      </c>
    </row>
    <row r="13" spans="1:10" ht="13.5">
      <c r="A13" s="97">
        <f t="shared" si="1"/>
        <v>9</v>
      </c>
      <c r="B13" s="159"/>
      <c r="C13" s="152" t="s">
        <v>13</v>
      </c>
      <c r="D13" s="150"/>
      <c r="E13" s="101">
        <f>E10+E11</f>
        <v>14</v>
      </c>
      <c r="F13" s="93">
        <f>F10+F11</f>
        <v>28</v>
      </c>
      <c r="G13" s="93">
        <f>G10+G11</f>
        <v>49</v>
      </c>
      <c r="H13" s="93">
        <f>H10+H11</f>
        <v>65</v>
      </c>
      <c r="I13" s="134">
        <f>I10+I11</f>
        <v>33</v>
      </c>
      <c r="J13" s="139">
        <f t="shared" si="0"/>
        <v>189</v>
      </c>
    </row>
    <row r="14" spans="1:10" ht="13.5">
      <c r="A14" s="97">
        <f t="shared" si="1"/>
        <v>10</v>
      </c>
      <c r="B14" s="159" t="s">
        <v>14</v>
      </c>
      <c r="C14" s="92" t="s">
        <v>15</v>
      </c>
      <c r="D14" s="102" t="s">
        <v>16</v>
      </c>
      <c r="E14" s="100"/>
      <c r="F14" s="41">
        <v>6</v>
      </c>
      <c r="G14" s="93"/>
      <c r="H14" s="93"/>
      <c r="I14" s="133"/>
      <c r="J14" s="139">
        <f t="shared" si="0"/>
        <v>6</v>
      </c>
    </row>
    <row r="15" spans="1:10" ht="13.5">
      <c r="A15" s="97">
        <f t="shared" si="1"/>
        <v>11</v>
      </c>
      <c r="B15" s="159"/>
      <c r="C15" s="94"/>
      <c r="D15" s="102" t="s">
        <v>17</v>
      </c>
      <c r="E15" s="100"/>
      <c r="F15" s="93">
        <f>2*60+43</f>
        <v>163</v>
      </c>
      <c r="G15" s="93"/>
      <c r="H15" s="93"/>
      <c r="I15" s="134"/>
      <c r="J15" s="139">
        <f t="shared" si="0"/>
        <v>163</v>
      </c>
    </row>
    <row r="16" spans="1:10" ht="13.5">
      <c r="A16" s="97">
        <f t="shared" si="1"/>
        <v>12</v>
      </c>
      <c r="B16" s="159"/>
      <c r="C16" s="92" t="s">
        <v>9</v>
      </c>
      <c r="D16" s="102" t="s">
        <v>16</v>
      </c>
      <c r="E16" s="100">
        <v>278</v>
      </c>
      <c r="F16" s="41">
        <v>284</v>
      </c>
      <c r="G16" s="93">
        <v>553</v>
      </c>
      <c r="H16" s="93">
        <v>760</v>
      </c>
      <c r="I16" s="133">
        <v>349</v>
      </c>
      <c r="J16" s="139">
        <f t="shared" si="0"/>
        <v>2224</v>
      </c>
    </row>
    <row r="17" spans="1:10" ht="13.5">
      <c r="A17" s="97">
        <f t="shared" si="1"/>
        <v>13</v>
      </c>
      <c r="B17" s="159"/>
      <c r="C17" s="94"/>
      <c r="D17" s="102" t="s">
        <v>17</v>
      </c>
      <c r="E17" s="100">
        <f>353.58*60</f>
        <v>21214.8</v>
      </c>
      <c r="F17" s="41">
        <f>184*60+28</f>
        <v>11068</v>
      </c>
      <c r="G17" s="93">
        <f>533*60</f>
        <v>31980</v>
      </c>
      <c r="H17" s="93">
        <f>726.8*60</f>
        <v>43608</v>
      </c>
      <c r="I17" s="134">
        <f>281.4*60</f>
        <v>16884</v>
      </c>
      <c r="J17" s="139">
        <f t="shared" si="0"/>
        <v>124754.8</v>
      </c>
    </row>
    <row r="18" spans="1:10" ht="13.5">
      <c r="A18" s="97">
        <f t="shared" si="1"/>
        <v>14</v>
      </c>
      <c r="B18" s="159"/>
      <c r="C18" s="92" t="s">
        <v>10</v>
      </c>
      <c r="D18" s="102" t="s">
        <v>16</v>
      </c>
      <c r="E18" s="100">
        <v>236</v>
      </c>
      <c r="F18" s="41">
        <v>99</v>
      </c>
      <c r="G18" s="93">
        <v>360</v>
      </c>
      <c r="H18" s="93">
        <v>146</v>
      </c>
      <c r="I18" s="133">
        <v>77</v>
      </c>
      <c r="J18" s="139">
        <f t="shared" si="0"/>
        <v>918</v>
      </c>
    </row>
    <row r="19" spans="1:10" ht="13.5">
      <c r="A19" s="97">
        <f t="shared" si="1"/>
        <v>15</v>
      </c>
      <c r="B19" s="159"/>
      <c r="C19" s="94"/>
      <c r="D19" s="102" t="s">
        <v>17</v>
      </c>
      <c r="E19" s="100">
        <f>315.82*60</f>
        <v>18949.2</v>
      </c>
      <c r="F19" s="93">
        <f>97*60+7</f>
        <v>5827</v>
      </c>
      <c r="G19" s="93">
        <f>422*60</f>
        <v>25320</v>
      </c>
      <c r="H19" s="93">
        <f>149.2*60</f>
        <v>8952</v>
      </c>
      <c r="I19" s="134">
        <f>74.2*60</f>
        <v>4452</v>
      </c>
      <c r="J19" s="139">
        <f t="shared" si="0"/>
        <v>63500.2</v>
      </c>
    </row>
    <row r="20" spans="1:10" ht="13.5">
      <c r="A20" s="97">
        <f t="shared" si="1"/>
        <v>16</v>
      </c>
      <c r="B20" s="159"/>
      <c r="C20" s="92" t="s">
        <v>11</v>
      </c>
      <c r="D20" s="102" t="s">
        <v>16</v>
      </c>
      <c r="E20" s="100">
        <v>86</v>
      </c>
      <c r="F20" s="41">
        <v>60</v>
      </c>
      <c r="G20" s="93">
        <v>30</v>
      </c>
      <c r="H20" s="93">
        <v>82</v>
      </c>
      <c r="I20" s="133">
        <v>32</v>
      </c>
      <c r="J20" s="139">
        <f t="shared" si="0"/>
        <v>290</v>
      </c>
    </row>
    <row r="21" spans="1:10" ht="13.5">
      <c r="A21" s="97">
        <f t="shared" si="1"/>
        <v>17</v>
      </c>
      <c r="B21" s="159"/>
      <c r="C21" s="94"/>
      <c r="D21" s="102" t="s">
        <v>17</v>
      </c>
      <c r="E21" s="100">
        <f>63.22*60</f>
        <v>3793.2</v>
      </c>
      <c r="F21" s="93">
        <f>24*60+48</f>
        <v>1488</v>
      </c>
      <c r="G21" s="93">
        <f>22*60</f>
        <v>1320</v>
      </c>
      <c r="H21" s="93">
        <f>78.9*60</f>
        <v>4734</v>
      </c>
      <c r="I21" s="134">
        <f>26.2*60</f>
        <v>1572</v>
      </c>
      <c r="J21" s="139">
        <f t="shared" si="0"/>
        <v>12907.2</v>
      </c>
    </row>
    <row r="22" spans="1:10" ht="13.5">
      <c r="A22" s="97">
        <f t="shared" si="1"/>
        <v>18</v>
      </c>
      <c r="B22" s="159"/>
      <c r="C22" s="152" t="s">
        <v>18</v>
      </c>
      <c r="D22" s="150"/>
      <c r="E22" s="100">
        <f>E14+E16+E18+E20</f>
        <v>600</v>
      </c>
      <c r="F22" s="41">
        <f aca="true" t="shared" si="2" ref="F22:I23">F14+F16+F18+F20</f>
        <v>449</v>
      </c>
      <c r="G22" s="41">
        <f t="shared" si="2"/>
        <v>943</v>
      </c>
      <c r="H22" s="41">
        <f t="shared" si="2"/>
        <v>988</v>
      </c>
      <c r="I22" s="133">
        <f t="shared" si="2"/>
        <v>458</v>
      </c>
      <c r="J22" s="139">
        <f t="shared" si="0"/>
        <v>3438</v>
      </c>
    </row>
    <row r="23" spans="1:10" ht="14.25" thickBot="1">
      <c r="A23" s="97">
        <f t="shared" si="1"/>
        <v>19</v>
      </c>
      <c r="B23" s="160"/>
      <c r="C23" s="167" t="s">
        <v>19</v>
      </c>
      <c r="D23" s="168"/>
      <c r="E23" s="100">
        <f>E15+E17+E19+E21</f>
        <v>43957.2</v>
      </c>
      <c r="F23" s="41">
        <f t="shared" si="2"/>
        <v>18546</v>
      </c>
      <c r="G23" s="41">
        <f t="shared" si="2"/>
        <v>58620</v>
      </c>
      <c r="H23" s="41">
        <f t="shared" si="2"/>
        <v>57294</v>
      </c>
      <c r="I23" s="133">
        <f t="shared" si="2"/>
        <v>22908</v>
      </c>
      <c r="J23" s="139">
        <f t="shared" si="0"/>
        <v>201325.2</v>
      </c>
    </row>
    <row r="24" spans="1:10" ht="13.5">
      <c r="A24" s="97">
        <f t="shared" si="1"/>
        <v>20</v>
      </c>
      <c r="B24" s="156" t="s">
        <v>21</v>
      </c>
      <c r="C24" s="157"/>
      <c r="D24" s="158"/>
      <c r="E24" s="100">
        <f>E7-E12</f>
        <v>1637</v>
      </c>
      <c r="F24" s="41">
        <f>F7-F12</f>
        <v>2202</v>
      </c>
      <c r="G24" s="41">
        <f>G7-G12</f>
        <v>3039</v>
      </c>
      <c r="H24" s="41">
        <f>H7-H12</f>
        <v>4618</v>
      </c>
      <c r="I24" s="133">
        <f>I7-I12</f>
        <v>2130</v>
      </c>
      <c r="J24" s="139">
        <f t="shared" si="0"/>
        <v>13626</v>
      </c>
    </row>
    <row r="25" spans="1:10" ht="14.25" thickBot="1">
      <c r="A25" s="97">
        <f t="shared" si="1"/>
        <v>21</v>
      </c>
      <c r="B25" s="169" t="s">
        <v>22</v>
      </c>
      <c r="C25" s="170"/>
      <c r="D25" s="171"/>
      <c r="E25" s="111">
        <f>E24-E22-E13</f>
        <v>1023</v>
      </c>
      <c r="F25" s="112">
        <f>F24-F22-F13</f>
        <v>1725</v>
      </c>
      <c r="G25" s="112">
        <f>G24-G22-G13</f>
        <v>2047</v>
      </c>
      <c r="H25" s="112">
        <f>H24-H22-H13</f>
        <v>3565</v>
      </c>
      <c r="I25" s="135">
        <f>I24-I22-I13</f>
        <v>1639</v>
      </c>
      <c r="J25" s="140">
        <f t="shared" si="0"/>
        <v>9999</v>
      </c>
    </row>
    <row r="26" spans="1:10" ht="14.25" thickBot="1">
      <c r="A26" s="97">
        <f t="shared" si="1"/>
        <v>22</v>
      </c>
      <c r="B26" s="172" t="s">
        <v>23</v>
      </c>
      <c r="C26" s="173"/>
      <c r="D26" s="174"/>
      <c r="E26" s="116">
        <f aca="true" t="shared" si="3" ref="E26:J26">IF(E24=0,0,(E25+E16)/E24)</f>
        <v>0.7947464874770922</v>
      </c>
      <c r="F26" s="117">
        <f t="shared" si="3"/>
        <v>0.9123524069028156</v>
      </c>
      <c r="G26" s="117">
        <f t="shared" si="3"/>
        <v>0.855544587035209</v>
      </c>
      <c r="H26" s="117">
        <f t="shared" si="3"/>
        <v>0.9365526201818969</v>
      </c>
      <c r="I26" s="136">
        <f t="shared" si="3"/>
        <v>0.9333333333333333</v>
      </c>
      <c r="J26" s="31">
        <f t="shared" si="3"/>
        <v>0.8970350799941289</v>
      </c>
    </row>
    <row r="27" spans="1:10" ht="14.25" thickBot="1">
      <c r="A27" s="97">
        <f t="shared" si="1"/>
        <v>23</v>
      </c>
      <c r="B27" s="175" t="s">
        <v>24</v>
      </c>
      <c r="C27" s="176"/>
      <c r="D27" s="177"/>
      <c r="E27" s="113">
        <f aca="true" t="shared" si="4" ref="E27:J27">+E23/E22</f>
        <v>73.262</v>
      </c>
      <c r="F27" s="114">
        <f t="shared" si="4"/>
        <v>41.30512249443207</v>
      </c>
      <c r="G27" s="114">
        <f t="shared" si="4"/>
        <v>62.16330858960764</v>
      </c>
      <c r="H27" s="114">
        <f t="shared" si="4"/>
        <v>57.98987854251012</v>
      </c>
      <c r="I27" s="137">
        <f t="shared" si="4"/>
        <v>50.0174672489083</v>
      </c>
      <c r="J27" s="27">
        <f t="shared" si="4"/>
        <v>58.55881326352531</v>
      </c>
    </row>
    <row r="28" spans="1:10" ht="13.5">
      <c r="A28" s="1"/>
      <c r="B28" s="1"/>
      <c r="C28" s="1"/>
      <c r="D28" s="1"/>
      <c r="E28" s="2"/>
      <c r="F28" s="2"/>
      <c r="G28" s="2"/>
      <c r="H28" s="2"/>
      <c r="I28" s="2"/>
      <c r="J28" s="2"/>
    </row>
  </sheetData>
  <mergeCells count="21">
    <mergeCell ref="A1:J1"/>
    <mergeCell ref="A2:J2"/>
    <mergeCell ref="A3:J3"/>
    <mergeCell ref="B4:D4"/>
    <mergeCell ref="B5:D5"/>
    <mergeCell ref="B6:D6"/>
    <mergeCell ref="B7:D7"/>
    <mergeCell ref="B8:B13"/>
    <mergeCell ref="C8:D8"/>
    <mergeCell ref="C9:D9"/>
    <mergeCell ref="C10:D10"/>
    <mergeCell ref="C11:D11"/>
    <mergeCell ref="C12:D12"/>
    <mergeCell ref="C13:D13"/>
    <mergeCell ref="B25:D25"/>
    <mergeCell ref="B26:D26"/>
    <mergeCell ref="B27:D27"/>
    <mergeCell ref="B14:B23"/>
    <mergeCell ref="C22:D22"/>
    <mergeCell ref="C23:D23"/>
    <mergeCell ref="B24:D24"/>
  </mergeCells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31" sqref="C31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35.421875" style="0" customWidth="1"/>
    <col min="4" max="4" width="12.421875" style="0" bestFit="1" customWidth="1"/>
    <col min="5" max="7" width="8.8515625" style="0" bestFit="1" customWidth="1"/>
    <col min="8" max="9" width="7.00390625" style="0" bestFit="1" customWidth="1"/>
    <col min="10" max="10" width="8.00390625" style="0" bestFit="1" customWidth="1"/>
  </cols>
  <sheetData>
    <row r="1" spans="1:10" ht="17.25">
      <c r="A1" s="153" t="s">
        <v>25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">
      <c r="A2" s="154" t="s">
        <v>27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5.75" thickBot="1">
      <c r="A3" s="154" t="s">
        <v>34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57.75" thickBot="1">
      <c r="A4" s="79" t="s">
        <v>0</v>
      </c>
      <c r="B4" s="161" t="s">
        <v>1</v>
      </c>
      <c r="C4" s="162"/>
      <c r="D4" s="163"/>
      <c r="E4" s="103" t="s">
        <v>28</v>
      </c>
      <c r="F4" s="104" t="s">
        <v>29</v>
      </c>
      <c r="G4" s="104" t="s">
        <v>3</v>
      </c>
      <c r="H4" s="104" t="s">
        <v>2</v>
      </c>
      <c r="I4" s="130" t="s">
        <v>30</v>
      </c>
      <c r="J4" s="53" t="s">
        <v>4</v>
      </c>
    </row>
    <row r="5" spans="1:10" ht="13.5">
      <c r="A5" s="96">
        <v>1</v>
      </c>
      <c r="B5" s="156" t="s">
        <v>5</v>
      </c>
      <c r="C5" s="157"/>
      <c r="D5" s="158"/>
      <c r="E5" s="109">
        <v>1661</v>
      </c>
      <c r="F5" s="107">
        <v>2302</v>
      </c>
      <c r="G5" s="108">
        <v>3352</v>
      </c>
      <c r="H5" s="108">
        <v>4841</v>
      </c>
      <c r="I5" s="141">
        <v>2347</v>
      </c>
      <c r="J5" s="138">
        <f aca="true" t="shared" si="0" ref="J5:J25">SUM(E5:I5)</f>
        <v>14503</v>
      </c>
    </row>
    <row r="6" spans="1:10" ht="13.5">
      <c r="A6" s="97">
        <f>A5+1</f>
        <v>2</v>
      </c>
      <c r="B6" s="151" t="s">
        <v>6</v>
      </c>
      <c r="C6" s="152"/>
      <c r="D6" s="150"/>
      <c r="E6" s="100">
        <v>37</v>
      </c>
      <c r="F6" s="41"/>
      <c r="G6" s="93">
        <v>10</v>
      </c>
      <c r="H6" s="93"/>
      <c r="I6" s="133">
        <v>8</v>
      </c>
      <c r="J6" s="139">
        <f t="shared" si="0"/>
        <v>55</v>
      </c>
    </row>
    <row r="7" spans="1:10" ht="13.5">
      <c r="A7" s="97">
        <f aca="true" t="shared" si="1" ref="A7:A27">A6+1</f>
        <v>3</v>
      </c>
      <c r="B7" s="151" t="s">
        <v>20</v>
      </c>
      <c r="C7" s="152"/>
      <c r="D7" s="150"/>
      <c r="E7" s="100">
        <f>SUM(E5:E6)</f>
        <v>1698</v>
      </c>
      <c r="F7" s="41">
        <f>SUM(F5:F6)</f>
        <v>2302</v>
      </c>
      <c r="G7" s="41">
        <f>SUM(G5:G6)</f>
        <v>3362</v>
      </c>
      <c r="H7" s="41">
        <f>SUM(H5:H6)</f>
        <v>4841</v>
      </c>
      <c r="I7" s="133">
        <f>SUM(I5:I6)</f>
        <v>2355</v>
      </c>
      <c r="J7" s="139">
        <f t="shared" si="0"/>
        <v>14558</v>
      </c>
    </row>
    <row r="8" spans="1:10" ht="13.5">
      <c r="A8" s="97">
        <f t="shared" si="1"/>
        <v>4</v>
      </c>
      <c r="B8" s="159" t="s">
        <v>7</v>
      </c>
      <c r="C8" s="152" t="s">
        <v>8</v>
      </c>
      <c r="D8" s="150"/>
      <c r="E8" s="110">
        <v>45</v>
      </c>
      <c r="F8" s="105"/>
      <c r="G8" s="106">
        <v>11</v>
      </c>
      <c r="H8" s="106"/>
      <c r="I8" s="142"/>
      <c r="J8" s="139">
        <f t="shared" si="0"/>
        <v>56</v>
      </c>
    </row>
    <row r="9" spans="1:10" ht="13.5">
      <c r="A9" s="97">
        <f t="shared" si="1"/>
        <v>5</v>
      </c>
      <c r="B9" s="159"/>
      <c r="C9" s="152" t="s">
        <v>9</v>
      </c>
      <c r="D9" s="150"/>
      <c r="E9" s="100">
        <v>15</v>
      </c>
      <c r="F9" s="105">
        <v>16</v>
      </c>
      <c r="G9" s="106">
        <v>48</v>
      </c>
      <c r="H9" s="106">
        <v>91</v>
      </c>
      <c r="I9" s="142">
        <v>53</v>
      </c>
      <c r="J9" s="139">
        <f t="shared" si="0"/>
        <v>223</v>
      </c>
    </row>
    <row r="10" spans="1:10" ht="13.5">
      <c r="A10" s="97">
        <f t="shared" si="1"/>
        <v>6</v>
      </c>
      <c r="B10" s="159"/>
      <c r="C10" s="152" t="s">
        <v>10</v>
      </c>
      <c r="D10" s="150"/>
      <c r="E10" s="100">
        <v>21</v>
      </c>
      <c r="F10" s="105">
        <v>38</v>
      </c>
      <c r="G10" s="106">
        <v>11</v>
      </c>
      <c r="H10" s="106">
        <v>60</v>
      </c>
      <c r="I10" s="142">
        <v>79</v>
      </c>
      <c r="J10" s="139">
        <f t="shared" si="0"/>
        <v>209</v>
      </c>
    </row>
    <row r="11" spans="1:10" ht="13.5">
      <c r="A11" s="97">
        <f t="shared" si="1"/>
        <v>7</v>
      </c>
      <c r="B11" s="159"/>
      <c r="C11" s="152" t="s">
        <v>11</v>
      </c>
      <c r="D11" s="150"/>
      <c r="E11" s="100"/>
      <c r="F11" s="105">
        <v>1</v>
      </c>
      <c r="G11" s="106">
        <v>3</v>
      </c>
      <c r="H11" s="106">
        <v>29</v>
      </c>
      <c r="I11" s="142">
        <v>17</v>
      </c>
      <c r="J11" s="139">
        <f t="shared" si="0"/>
        <v>50</v>
      </c>
    </row>
    <row r="12" spans="1:10" ht="13.5">
      <c r="A12" s="97">
        <f t="shared" si="1"/>
        <v>8</v>
      </c>
      <c r="B12" s="159"/>
      <c r="C12" s="152" t="s">
        <v>12</v>
      </c>
      <c r="D12" s="150"/>
      <c r="E12" s="101">
        <f>E8+E9</f>
        <v>60</v>
      </c>
      <c r="F12" s="93">
        <f>F8+F9</f>
        <v>16</v>
      </c>
      <c r="G12" s="93">
        <f>G8+G9</f>
        <v>59</v>
      </c>
      <c r="H12" s="93">
        <f>H8+H9</f>
        <v>91</v>
      </c>
      <c r="I12" s="134">
        <f>I8+I9</f>
        <v>53</v>
      </c>
      <c r="J12" s="139">
        <f t="shared" si="0"/>
        <v>279</v>
      </c>
    </row>
    <row r="13" spans="1:10" ht="13.5">
      <c r="A13" s="97">
        <f t="shared" si="1"/>
        <v>9</v>
      </c>
      <c r="B13" s="159"/>
      <c r="C13" s="152" t="s">
        <v>13</v>
      </c>
      <c r="D13" s="150"/>
      <c r="E13" s="101">
        <f>E10+E11</f>
        <v>21</v>
      </c>
      <c r="F13" s="93">
        <f>F10+F11</f>
        <v>39</v>
      </c>
      <c r="G13" s="93">
        <f>G10+G11</f>
        <v>14</v>
      </c>
      <c r="H13" s="93">
        <f>H10+H11</f>
        <v>89</v>
      </c>
      <c r="I13" s="134">
        <f>I10+I11</f>
        <v>96</v>
      </c>
      <c r="J13" s="139">
        <f t="shared" si="0"/>
        <v>259</v>
      </c>
    </row>
    <row r="14" spans="1:10" ht="13.5">
      <c r="A14" s="97">
        <f t="shared" si="1"/>
        <v>10</v>
      </c>
      <c r="B14" s="159" t="s">
        <v>14</v>
      </c>
      <c r="C14" s="92" t="s">
        <v>15</v>
      </c>
      <c r="D14" s="102" t="s">
        <v>16</v>
      </c>
      <c r="E14" s="100"/>
      <c r="F14" s="41">
        <v>2</v>
      </c>
      <c r="G14" s="93"/>
      <c r="H14" s="93">
        <v>1</v>
      </c>
      <c r="I14" s="133"/>
      <c r="J14" s="139">
        <f t="shared" si="0"/>
        <v>3</v>
      </c>
    </row>
    <row r="15" spans="1:10" ht="13.5">
      <c r="A15" s="97">
        <f t="shared" si="1"/>
        <v>11</v>
      </c>
      <c r="B15" s="159"/>
      <c r="C15" s="94"/>
      <c r="D15" s="102" t="s">
        <v>17</v>
      </c>
      <c r="E15" s="100"/>
      <c r="F15" s="93">
        <v>57</v>
      </c>
      <c r="G15" s="93"/>
      <c r="H15" s="93">
        <f>0.3*60</f>
        <v>18</v>
      </c>
      <c r="I15" s="134"/>
      <c r="J15" s="139">
        <f t="shared" si="0"/>
        <v>75</v>
      </c>
    </row>
    <row r="16" spans="1:10" ht="13.5">
      <c r="A16" s="97">
        <f t="shared" si="1"/>
        <v>12</v>
      </c>
      <c r="B16" s="159"/>
      <c r="C16" s="92" t="s">
        <v>9</v>
      </c>
      <c r="D16" s="102" t="s">
        <v>16</v>
      </c>
      <c r="E16" s="100">
        <v>303</v>
      </c>
      <c r="F16" s="41">
        <v>258</v>
      </c>
      <c r="G16" s="93">
        <v>648</v>
      </c>
      <c r="H16" s="93">
        <v>793</v>
      </c>
      <c r="I16" s="133">
        <v>470</v>
      </c>
      <c r="J16" s="139">
        <f t="shared" si="0"/>
        <v>2472</v>
      </c>
    </row>
    <row r="17" spans="1:10" ht="13.5">
      <c r="A17" s="97">
        <f t="shared" si="1"/>
        <v>13</v>
      </c>
      <c r="B17" s="159"/>
      <c r="C17" s="94"/>
      <c r="D17" s="102" t="s">
        <v>17</v>
      </c>
      <c r="E17" s="100">
        <f>422.5*60</f>
        <v>25350</v>
      </c>
      <c r="F17" s="41">
        <f>188*60+8</f>
        <v>11288</v>
      </c>
      <c r="G17" s="93">
        <f>736*60</f>
        <v>44160</v>
      </c>
      <c r="H17" s="93">
        <f>726.6*60</f>
        <v>43596</v>
      </c>
      <c r="I17" s="134">
        <f>525.9*60</f>
        <v>31554</v>
      </c>
      <c r="J17" s="139">
        <f t="shared" si="0"/>
        <v>155948</v>
      </c>
    </row>
    <row r="18" spans="1:10" ht="13.5">
      <c r="A18" s="97">
        <f t="shared" si="1"/>
        <v>14</v>
      </c>
      <c r="B18" s="159"/>
      <c r="C18" s="92" t="s">
        <v>10</v>
      </c>
      <c r="D18" s="102" t="s">
        <v>16</v>
      </c>
      <c r="E18" s="100">
        <v>296</v>
      </c>
      <c r="F18" s="41">
        <v>118</v>
      </c>
      <c r="G18" s="93">
        <v>169</v>
      </c>
      <c r="H18" s="93">
        <v>258</v>
      </c>
      <c r="I18" s="133">
        <v>143</v>
      </c>
      <c r="J18" s="139">
        <f t="shared" si="0"/>
        <v>984</v>
      </c>
    </row>
    <row r="19" spans="1:10" ht="13.5">
      <c r="A19" s="97">
        <f t="shared" si="1"/>
        <v>15</v>
      </c>
      <c r="B19" s="159"/>
      <c r="C19" s="94"/>
      <c r="D19" s="102" t="s">
        <v>17</v>
      </c>
      <c r="E19" s="100">
        <f>330.97*60</f>
        <v>19858.2</v>
      </c>
      <c r="F19" s="93">
        <f>144*60+32</f>
        <v>8672</v>
      </c>
      <c r="G19" s="93">
        <f>162*60</f>
        <v>9720</v>
      </c>
      <c r="H19" s="93">
        <f>308.8*60</f>
        <v>18528</v>
      </c>
      <c r="I19" s="134">
        <f>155.5*60</f>
        <v>9330</v>
      </c>
      <c r="J19" s="139">
        <f t="shared" si="0"/>
        <v>66108.2</v>
      </c>
    </row>
    <row r="20" spans="1:10" ht="13.5">
      <c r="A20" s="97">
        <f t="shared" si="1"/>
        <v>16</v>
      </c>
      <c r="B20" s="159"/>
      <c r="C20" s="92" t="s">
        <v>11</v>
      </c>
      <c r="D20" s="102" t="s">
        <v>16</v>
      </c>
      <c r="E20" s="100">
        <v>67</v>
      </c>
      <c r="F20" s="41">
        <v>82</v>
      </c>
      <c r="G20" s="93">
        <v>16</v>
      </c>
      <c r="H20" s="93">
        <v>85</v>
      </c>
      <c r="I20" s="133">
        <v>62</v>
      </c>
      <c r="J20" s="139">
        <f t="shared" si="0"/>
        <v>312</v>
      </c>
    </row>
    <row r="21" spans="1:10" ht="13.5">
      <c r="A21" s="97">
        <f t="shared" si="1"/>
        <v>17</v>
      </c>
      <c r="B21" s="159"/>
      <c r="C21" s="94"/>
      <c r="D21" s="102" t="s">
        <v>17</v>
      </c>
      <c r="E21" s="100">
        <f>58.7*60</f>
        <v>3522</v>
      </c>
      <c r="F21" s="93">
        <f>40*60+12</f>
        <v>2412</v>
      </c>
      <c r="G21" s="93">
        <f>13*60</f>
        <v>780</v>
      </c>
      <c r="H21" s="93">
        <f>55.6*60</f>
        <v>3336</v>
      </c>
      <c r="I21" s="134">
        <f>62.9*60</f>
        <v>3774</v>
      </c>
      <c r="J21" s="139">
        <f t="shared" si="0"/>
        <v>13824</v>
      </c>
    </row>
    <row r="22" spans="1:10" ht="13.5">
      <c r="A22" s="97">
        <f t="shared" si="1"/>
        <v>18</v>
      </c>
      <c r="B22" s="159"/>
      <c r="C22" s="152" t="s">
        <v>18</v>
      </c>
      <c r="D22" s="150"/>
      <c r="E22" s="100">
        <f>E14+E16+E18+E20</f>
        <v>666</v>
      </c>
      <c r="F22" s="41">
        <f aca="true" t="shared" si="2" ref="F22:I23">F14+F16+F18+F20</f>
        <v>460</v>
      </c>
      <c r="G22" s="41">
        <f t="shared" si="2"/>
        <v>833</v>
      </c>
      <c r="H22" s="41">
        <f t="shared" si="2"/>
        <v>1137</v>
      </c>
      <c r="I22" s="133">
        <f t="shared" si="2"/>
        <v>675</v>
      </c>
      <c r="J22" s="139">
        <f t="shared" si="0"/>
        <v>3771</v>
      </c>
    </row>
    <row r="23" spans="1:10" ht="14.25" thickBot="1">
      <c r="A23" s="97">
        <f t="shared" si="1"/>
        <v>19</v>
      </c>
      <c r="B23" s="160"/>
      <c r="C23" s="167" t="s">
        <v>19</v>
      </c>
      <c r="D23" s="168"/>
      <c r="E23" s="100">
        <f>E15+E17+E19+E21</f>
        <v>48730.2</v>
      </c>
      <c r="F23" s="41">
        <f t="shared" si="2"/>
        <v>22429</v>
      </c>
      <c r="G23" s="41">
        <f t="shared" si="2"/>
        <v>54660</v>
      </c>
      <c r="H23" s="41">
        <f t="shared" si="2"/>
        <v>65478</v>
      </c>
      <c r="I23" s="133">
        <f t="shared" si="2"/>
        <v>44658</v>
      </c>
      <c r="J23" s="139">
        <f t="shared" si="0"/>
        <v>235955.2</v>
      </c>
    </row>
    <row r="24" spans="1:10" ht="13.5">
      <c r="A24" s="97">
        <f t="shared" si="1"/>
        <v>20</v>
      </c>
      <c r="B24" s="156" t="s">
        <v>21</v>
      </c>
      <c r="C24" s="157"/>
      <c r="D24" s="158"/>
      <c r="E24" s="100">
        <f>E7-E12</f>
        <v>1638</v>
      </c>
      <c r="F24" s="41">
        <f>F7-F12</f>
        <v>2286</v>
      </c>
      <c r="G24" s="41">
        <f>G7-G12</f>
        <v>3303</v>
      </c>
      <c r="H24" s="41">
        <f>H7-H12</f>
        <v>4750</v>
      </c>
      <c r="I24" s="133">
        <f>I7-I12</f>
        <v>2302</v>
      </c>
      <c r="J24" s="139">
        <f t="shared" si="0"/>
        <v>14279</v>
      </c>
    </row>
    <row r="25" spans="1:10" ht="14.25" thickBot="1">
      <c r="A25" s="97">
        <f t="shared" si="1"/>
        <v>21</v>
      </c>
      <c r="B25" s="169" t="s">
        <v>22</v>
      </c>
      <c r="C25" s="170"/>
      <c r="D25" s="171"/>
      <c r="E25" s="111">
        <f>E24-E22-E13</f>
        <v>951</v>
      </c>
      <c r="F25" s="112">
        <f>F24-F22-F13</f>
        <v>1787</v>
      </c>
      <c r="G25" s="112">
        <f>G24-G22-G13</f>
        <v>2456</v>
      </c>
      <c r="H25" s="112">
        <f>H24-H22-H13</f>
        <v>3524</v>
      </c>
      <c r="I25" s="135">
        <f>I24-I22-I13</f>
        <v>1531</v>
      </c>
      <c r="J25" s="140">
        <f t="shared" si="0"/>
        <v>10249</v>
      </c>
    </row>
    <row r="26" spans="1:10" ht="14.25" thickBot="1">
      <c r="A26" s="97">
        <f t="shared" si="1"/>
        <v>22</v>
      </c>
      <c r="B26" s="172" t="s">
        <v>23</v>
      </c>
      <c r="C26" s="173"/>
      <c r="D26" s="174"/>
      <c r="E26" s="116">
        <f aca="true" t="shared" si="3" ref="E26:J26">IF(E24=0,0,(E25+E16)/E24)</f>
        <v>0.7655677655677655</v>
      </c>
      <c r="F26" s="117">
        <f t="shared" si="3"/>
        <v>0.894575678040245</v>
      </c>
      <c r="G26" s="117">
        <f t="shared" si="3"/>
        <v>0.9397517408416591</v>
      </c>
      <c r="H26" s="117">
        <f t="shared" si="3"/>
        <v>0.9088421052631579</v>
      </c>
      <c r="I26" s="136">
        <f t="shared" si="3"/>
        <v>0.869244135534318</v>
      </c>
      <c r="J26" s="31">
        <f t="shared" si="3"/>
        <v>0.8908887176973177</v>
      </c>
    </row>
    <row r="27" spans="1:10" ht="14.25" thickBot="1">
      <c r="A27" s="97">
        <f t="shared" si="1"/>
        <v>23</v>
      </c>
      <c r="B27" s="175" t="s">
        <v>24</v>
      </c>
      <c r="C27" s="176"/>
      <c r="D27" s="177"/>
      <c r="E27" s="113">
        <f aca="true" t="shared" si="4" ref="E27:J27">+E23/E22</f>
        <v>73.16846846846846</v>
      </c>
      <c r="F27" s="114">
        <f t="shared" si="4"/>
        <v>48.75869565217391</v>
      </c>
      <c r="G27" s="114">
        <f t="shared" si="4"/>
        <v>65.61824729891957</v>
      </c>
      <c r="H27" s="114">
        <f t="shared" si="4"/>
        <v>57.58839050131926</v>
      </c>
      <c r="I27" s="137">
        <f t="shared" si="4"/>
        <v>66.16</v>
      </c>
      <c r="J27" s="27">
        <f t="shared" si="4"/>
        <v>62.57098912755237</v>
      </c>
    </row>
    <row r="28" spans="1:10" ht="13.5">
      <c r="A28" s="1"/>
      <c r="B28" s="1"/>
      <c r="C28" s="1"/>
      <c r="D28" s="1"/>
      <c r="E28" s="2"/>
      <c r="F28" s="2"/>
      <c r="G28" s="2"/>
      <c r="H28" s="2"/>
      <c r="I28" s="2"/>
      <c r="J28" s="2"/>
    </row>
  </sheetData>
  <mergeCells count="21">
    <mergeCell ref="B25:D25"/>
    <mergeCell ref="B26:D26"/>
    <mergeCell ref="B27:D27"/>
    <mergeCell ref="B14:B23"/>
    <mergeCell ref="C22:D22"/>
    <mergeCell ref="C23:D23"/>
    <mergeCell ref="B24:D24"/>
    <mergeCell ref="B5:D5"/>
    <mergeCell ref="B6:D6"/>
    <mergeCell ref="B7:D7"/>
    <mergeCell ref="B8:B13"/>
    <mergeCell ref="C8:D8"/>
    <mergeCell ref="C9:D9"/>
    <mergeCell ref="C10:D10"/>
    <mergeCell ref="C11:D11"/>
    <mergeCell ref="C12:D12"/>
    <mergeCell ref="C13:D13"/>
    <mergeCell ref="A1:J1"/>
    <mergeCell ref="A2:J2"/>
    <mergeCell ref="A3:J3"/>
    <mergeCell ref="B4:D4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6" sqref="A6:A27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35.421875" style="0" customWidth="1"/>
    <col min="4" max="4" width="12.421875" style="0" bestFit="1" customWidth="1"/>
    <col min="5" max="7" width="8.8515625" style="0" bestFit="1" customWidth="1"/>
    <col min="8" max="9" width="7.00390625" style="0" bestFit="1" customWidth="1"/>
    <col min="10" max="10" width="8.00390625" style="0" bestFit="1" customWidth="1"/>
  </cols>
  <sheetData>
    <row r="1" spans="1:10" ht="17.25">
      <c r="A1" s="153" t="s">
        <v>25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">
      <c r="A2" s="154" t="s">
        <v>27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5.75" thickBot="1">
      <c r="A3" s="154" t="s">
        <v>35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57.75" thickBot="1">
      <c r="A4" s="79" t="s">
        <v>0</v>
      </c>
      <c r="B4" s="161" t="s">
        <v>1</v>
      </c>
      <c r="C4" s="162"/>
      <c r="D4" s="163"/>
      <c r="E4" s="103" t="s">
        <v>28</v>
      </c>
      <c r="F4" s="104" t="s">
        <v>29</v>
      </c>
      <c r="G4" s="104" t="s">
        <v>3</v>
      </c>
      <c r="H4" s="104" t="s">
        <v>2</v>
      </c>
      <c r="I4" s="130" t="s">
        <v>30</v>
      </c>
      <c r="J4" s="53" t="s">
        <v>4</v>
      </c>
    </row>
    <row r="5" spans="1:10" ht="13.5">
      <c r="A5" s="96">
        <v>1</v>
      </c>
      <c r="B5" s="156" t="s">
        <v>5</v>
      </c>
      <c r="C5" s="157"/>
      <c r="D5" s="158"/>
      <c r="E5" s="109">
        <v>1538</v>
      </c>
      <c r="F5" s="107">
        <v>2377</v>
      </c>
      <c r="G5" s="108">
        <v>3189</v>
      </c>
      <c r="H5" s="108">
        <v>4625</v>
      </c>
      <c r="I5" s="141">
        <v>2394</v>
      </c>
      <c r="J5" s="138">
        <f aca="true" t="shared" si="0" ref="J5:J25">SUM(E5:I5)</f>
        <v>14123</v>
      </c>
    </row>
    <row r="6" spans="1:10" ht="13.5">
      <c r="A6" s="97">
        <f>A5+1</f>
        <v>2</v>
      </c>
      <c r="B6" s="151" t="s">
        <v>6</v>
      </c>
      <c r="C6" s="152"/>
      <c r="D6" s="150"/>
      <c r="E6" s="100">
        <v>20</v>
      </c>
      <c r="F6" s="41"/>
      <c r="G6" s="93">
        <v>28</v>
      </c>
      <c r="H6" s="93">
        <v>10</v>
      </c>
      <c r="I6" s="133">
        <v>12</v>
      </c>
      <c r="J6" s="139">
        <f t="shared" si="0"/>
        <v>70</v>
      </c>
    </row>
    <row r="7" spans="1:10" ht="13.5">
      <c r="A7" s="97">
        <f aca="true" t="shared" si="1" ref="A7:A27">A6+1</f>
        <v>3</v>
      </c>
      <c r="B7" s="151" t="s">
        <v>20</v>
      </c>
      <c r="C7" s="152"/>
      <c r="D7" s="150"/>
      <c r="E7" s="100">
        <f>SUM(E5:E6)</f>
        <v>1558</v>
      </c>
      <c r="F7" s="41">
        <f>SUM(F5:F6)</f>
        <v>2377</v>
      </c>
      <c r="G7" s="41">
        <f>SUM(G5:G6)</f>
        <v>3217</v>
      </c>
      <c r="H7" s="41">
        <f>SUM(H5:H6)</f>
        <v>4635</v>
      </c>
      <c r="I7" s="133">
        <f>SUM(I5:I6)</f>
        <v>2406</v>
      </c>
      <c r="J7" s="139">
        <f t="shared" si="0"/>
        <v>14193</v>
      </c>
    </row>
    <row r="8" spans="1:10" ht="13.5">
      <c r="A8" s="97">
        <f t="shared" si="1"/>
        <v>4</v>
      </c>
      <c r="B8" s="159" t="s">
        <v>7</v>
      </c>
      <c r="C8" s="152" t="s">
        <v>8</v>
      </c>
      <c r="D8" s="150"/>
      <c r="E8" s="110">
        <v>32</v>
      </c>
      <c r="F8" s="105">
        <v>9</v>
      </c>
      <c r="G8" s="106">
        <v>7</v>
      </c>
      <c r="H8" s="106"/>
      <c r="I8" s="142"/>
      <c r="J8" s="139">
        <f t="shared" si="0"/>
        <v>48</v>
      </c>
    </row>
    <row r="9" spans="1:10" ht="13.5">
      <c r="A9" s="97">
        <f t="shared" si="1"/>
        <v>5</v>
      </c>
      <c r="B9" s="159"/>
      <c r="C9" s="152" t="s">
        <v>9</v>
      </c>
      <c r="D9" s="150"/>
      <c r="E9" s="100">
        <v>6</v>
      </c>
      <c r="F9" s="105">
        <v>8</v>
      </c>
      <c r="G9" s="106">
        <v>36</v>
      </c>
      <c r="H9" s="106">
        <v>50</v>
      </c>
      <c r="I9" s="142">
        <v>23</v>
      </c>
      <c r="J9" s="139">
        <f t="shared" si="0"/>
        <v>123</v>
      </c>
    </row>
    <row r="10" spans="1:10" ht="13.5">
      <c r="A10" s="97">
        <f t="shared" si="1"/>
        <v>6</v>
      </c>
      <c r="B10" s="159"/>
      <c r="C10" s="152" t="s">
        <v>10</v>
      </c>
      <c r="D10" s="150"/>
      <c r="E10" s="100">
        <v>17</v>
      </c>
      <c r="F10" s="105">
        <v>15</v>
      </c>
      <c r="G10" s="106"/>
      <c r="H10" s="106">
        <v>65</v>
      </c>
      <c r="I10" s="142">
        <v>46</v>
      </c>
      <c r="J10" s="139">
        <f t="shared" si="0"/>
        <v>143</v>
      </c>
    </row>
    <row r="11" spans="1:10" ht="13.5">
      <c r="A11" s="97">
        <f t="shared" si="1"/>
        <v>7</v>
      </c>
      <c r="B11" s="159"/>
      <c r="C11" s="152" t="s">
        <v>11</v>
      </c>
      <c r="D11" s="150"/>
      <c r="E11" s="100"/>
      <c r="F11" s="105">
        <v>1</v>
      </c>
      <c r="G11" s="106">
        <v>7</v>
      </c>
      <c r="H11" s="106">
        <v>8</v>
      </c>
      <c r="I11" s="142">
        <v>15</v>
      </c>
      <c r="J11" s="139">
        <f t="shared" si="0"/>
        <v>31</v>
      </c>
    </row>
    <row r="12" spans="1:10" ht="13.5">
      <c r="A12" s="97">
        <f t="shared" si="1"/>
        <v>8</v>
      </c>
      <c r="B12" s="159"/>
      <c r="C12" s="152" t="s">
        <v>12</v>
      </c>
      <c r="D12" s="150"/>
      <c r="E12" s="101">
        <f>E8+E9</f>
        <v>38</v>
      </c>
      <c r="F12" s="93">
        <f>F8+F9</f>
        <v>17</v>
      </c>
      <c r="G12" s="93">
        <f>G8+G9</f>
        <v>43</v>
      </c>
      <c r="H12" s="93">
        <f>H8+H9</f>
        <v>50</v>
      </c>
      <c r="I12" s="134">
        <f>I8+I9</f>
        <v>23</v>
      </c>
      <c r="J12" s="139">
        <f t="shared" si="0"/>
        <v>171</v>
      </c>
    </row>
    <row r="13" spans="1:10" ht="13.5">
      <c r="A13" s="97">
        <f t="shared" si="1"/>
        <v>9</v>
      </c>
      <c r="B13" s="159"/>
      <c r="C13" s="152" t="s">
        <v>13</v>
      </c>
      <c r="D13" s="150"/>
      <c r="E13" s="101">
        <f>E10+E11</f>
        <v>17</v>
      </c>
      <c r="F13" s="93">
        <f>F10+F11</f>
        <v>16</v>
      </c>
      <c r="G13" s="93">
        <f>G10+G11</f>
        <v>7</v>
      </c>
      <c r="H13" s="93">
        <f>H10+H11</f>
        <v>73</v>
      </c>
      <c r="I13" s="134">
        <f>I10+I11</f>
        <v>61</v>
      </c>
      <c r="J13" s="139">
        <f t="shared" si="0"/>
        <v>174</v>
      </c>
    </row>
    <row r="14" spans="1:10" ht="13.5">
      <c r="A14" s="97">
        <f t="shared" si="1"/>
        <v>10</v>
      </c>
      <c r="B14" s="159" t="s">
        <v>14</v>
      </c>
      <c r="C14" s="92" t="s">
        <v>15</v>
      </c>
      <c r="D14" s="102" t="s">
        <v>16</v>
      </c>
      <c r="E14" s="100"/>
      <c r="F14" s="41">
        <v>1</v>
      </c>
      <c r="G14" s="93"/>
      <c r="H14" s="93"/>
      <c r="I14" s="133"/>
      <c r="J14" s="139">
        <f t="shared" si="0"/>
        <v>1</v>
      </c>
    </row>
    <row r="15" spans="1:10" ht="13.5">
      <c r="A15" s="97">
        <f t="shared" si="1"/>
        <v>11</v>
      </c>
      <c r="B15" s="159"/>
      <c r="C15" s="94"/>
      <c r="D15" s="102" t="s">
        <v>17</v>
      </c>
      <c r="E15" s="100"/>
      <c r="F15" s="93">
        <v>17</v>
      </c>
      <c r="G15" s="93"/>
      <c r="H15" s="93"/>
      <c r="I15" s="134"/>
      <c r="J15" s="139">
        <f t="shared" si="0"/>
        <v>17</v>
      </c>
    </row>
    <row r="16" spans="1:10" ht="13.5">
      <c r="A16" s="97">
        <f t="shared" si="1"/>
        <v>12</v>
      </c>
      <c r="B16" s="159"/>
      <c r="C16" s="92" t="s">
        <v>9</v>
      </c>
      <c r="D16" s="102" t="s">
        <v>16</v>
      </c>
      <c r="E16" s="100">
        <v>270</v>
      </c>
      <c r="F16" s="41">
        <v>245</v>
      </c>
      <c r="G16" s="93">
        <v>496</v>
      </c>
      <c r="H16" s="93">
        <v>362</v>
      </c>
      <c r="I16" s="133">
        <v>258</v>
      </c>
      <c r="J16" s="139">
        <f t="shared" si="0"/>
        <v>1631</v>
      </c>
    </row>
    <row r="17" spans="1:10" ht="13.5">
      <c r="A17" s="97">
        <f t="shared" si="1"/>
        <v>13</v>
      </c>
      <c r="B17" s="159"/>
      <c r="C17" s="94"/>
      <c r="D17" s="102" t="s">
        <v>17</v>
      </c>
      <c r="E17" s="100">
        <f>345.58*60</f>
        <v>20734.8</v>
      </c>
      <c r="F17" s="41">
        <f>103*60+51</f>
        <v>6231</v>
      </c>
      <c r="G17" s="93">
        <f>3038*60</f>
        <v>182280</v>
      </c>
      <c r="H17" s="93">
        <f>249.4*60</f>
        <v>14964</v>
      </c>
      <c r="I17" s="134">
        <f>198.4*60</f>
        <v>11904</v>
      </c>
      <c r="J17" s="139">
        <f t="shared" si="0"/>
        <v>236113.8</v>
      </c>
    </row>
    <row r="18" spans="1:10" ht="13.5">
      <c r="A18" s="97">
        <f t="shared" si="1"/>
        <v>14</v>
      </c>
      <c r="B18" s="159"/>
      <c r="C18" s="92" t="s">
        <v>10</v>
      </c>
      <c r="D18" s="102" t="s">
        <v>16</v>
      </c>
      <c r="E18" s="100">
        <v>226</v>
      </c>
      <c r="F18" s="41">
        <v>134</v>
      </c>
      <c r="G18" s="93">
        <v>109</v>
      </c>
      <c r="H18" s="93">
        <v>219</v>
      </c>
      <c r="I18" s="133">
        <v>144</v>
      </c>
      <c r="J18" s="139">
        <f t="shared" si="0"/>
        <v>832</v>
      </c>
    </row>
    <row r="19" spans="1:10" ht="13.5">
      <c r="A19" s="97">
        <f t="shared" si="1"/>
        <v>15</v>
      </c>
      <c r="B19" s="159"/>
      <c r="C19" s="94"/>
      <c r="D19" s="102" t="s">
        <v>17</v>
      </c>
      <c r="E19" s="100">
        <f>294.4*60</f>
        <v>17664</v>
      </c>
      <c r="F19" s="93">
        <f>118*60+46</f>
        <v>7126</v>
      </c>
      <c r="G19" s="93">
        <f>176*60</f>
        <v>10560</v>
      </c>
      <c r="H19" s="93">
        <f>195*60</f>
        <v>11700</v>
      </c>
      <c r="I19" s="134">
        <f>129.1*60</f>
        <v>7746</v>
      </c>
      <c r="J19" s="139">
        <f t="shared" si="0"/>
        <v>54796</v>
      </c>
    </row>
    <row r="20" spans="1:10" ht="13.5">
      <c r="A20" s="97">
        <f t="shared" si="1"/>
        <v>16</v>
      </c>
      <c r="B20" s="159"/>
      <c r="C20" s="92" t="s">
        <v>11</v>
      </c>
      <c r="D20" s="102" t="s">
        <v>16</v>
      </c>
      <c r="E20" s="100">
        <v>37</v>
      </c>
      <c r="F20" s="41">
        <v>96</v>
      </c>
      <c r="G20" s="93">
        <v>28</v>
      </c>
      <c r="H20" s="93">
        <v>92</v>
      </c>
      <c r="I20" s="133">
        <v>58</v>
      </c>
      <c r="J20" s="139">
        <f t="shared" si="0"/>
        <v>311</v>
      </c>
    </row>
    <row r="21" spans="1:10" ht="13.5">
      <c r="A21" s="97">
        <f t="shared" si="1"/>
        <v>17</v>
      </c>
      <c r="B21" s="159"/>
      <c r="C21" s="94"/>
      <c r="D21" s="102" t="s">
        <v>17</v>
      </c>
      <c r="E21" s="100">
        <f>44.23*60</f>
        <v>2653.7999999999997</v>
      </c>
      <c r="F21" s="93">
        <f>42*60+43</f>
        <v>2563</v>
      </c>
      <c r="G21" s="93">
        <f>363*60</f>
        <v>21780</v>
      </c>
      <c r="H21" s="93">
        <f>77.7*60</f>
        <v>4662</v>
      </c>
      <c r="I21" s="134">
        <f>38.1*60</f>
        <v>2286</v>
      </c>
      <c r="J21" s="139">
        <f t="shared" si="0"/>
        <v>33944.8</v>
      </c>
    </row>
    <row r="22" spans="1:10" ht="13.5">
      <c r="A22" s="97">
        <f t="shared" si="1"/>
        <v>18</v>
      </c>
      <c r="B22" s="159"/>
      <c r="C22" s="152" t="s">
        <v>18</v>
      </c>
      <c r="D22" s="150"/>
      <c r="E22" s="100">
        <f aca="true" t="shared" si="2" ref="E22:I23">E14+E16+E18+E20</f>
        <v>533</v>
      </c>
      <c r="F22" s="41">
        <f t="shared" si="2"/>
        <v>476</v>
      </c>
      <c r="G22" s="41">
        <f t="shared" si="2"/>
        <v>633</v>
      </c>
      <c r="H22" s="41">
        <f t="shared" si="2"/>
        <v>673</v>
      </c>
      <c r="I22" s="133">
        <f t="shared" si="2"/>
        <v>460</v>
      </c>
      <c r="J22" s="139">
        <f t="shared" si="0"/>
        <v>2775</v>
      </c>
    </row>
    <row r="23" spans="1:10" ht="14.25" thickBot="1">
      <c r="A23" s="97">
        <f t="shared" si="1"/>
        <v>19</v>
      </c>
      <c r="B23" s="160"/>
      <c r="C23" s="167" t="s">
        <v>19</v>
      </c>
      <c r="D23" s="168"/>
      <c r="E23" s="100">
        <f t="shared" si="2"/>
        <v>41052.600000000006</v>
      </c>
      <c r="F23" s="41">
        <f t="shared" si="2"/>
        <v>15937</v>
      </c>
      <c r="G23" s="41">
        <f t="shared" si="2"/>
        <v>214620</v>
      </c>
      <c r="H23" s="41">
        <f t="shared" si="2"/>
        <v>31326</v>
      </c>
      <c r="I23" s="133">
        <f t="shared" si="2"/>
        <v>21936</v>
      </c>
      <c r="J23" s="139">
        <f t="shared" si="0"/>
        <v>324871.6</v>
      </c>
    </row>
    <row r="24" spans="1:10" ht="13.5">
      <c r="A24" s="97">
        <f t="shared" si="1"/>
        <v>20</v>
      </c>
      <c r="B24" s="156" t="s">
        <v>21</v>
      </c>
      <c r="C24" s="157"/>
      <c r="D24" s="158"/>
      <c r="E24" s="100">
        <f>E7-E12</f>
        <v>1520</v>
      </c>
      <c r="F24" s="41">
        <f>F7-F12</f>
        <v>2360</v>
      </c>
      <c r="G24" s="41">
        <f>G7-G12</f>
        <v>3174</v>
      </c>
      <c r="H24" s="41">
        <f>H7-H12</f>
        <v>4585</v>
      </c>
      <c r="I24" s="133">
        <f>I7-I12</f>
        <v>2383</v>
      </c>
      <c r="J24" s="139">
        <f t="shared" si="0"/>
        <v>14022</v>
      </c>
    </row>
    <row r="25" spans="1:10" ht="14.25" thickBot="1">
      <c r="A25" s="97">
        <f t="shared" si="1"/>
        <v>21</v>
      </c>
      <c r="B25" s="169" t="s">
        <v>22</v>
      </c>
      <c r="C25" s="170"/>
      <c r="D25" s="171"/>
      <c r="E25" s="111">
        <f>E24-E22-E13</f>
        <v>970</v>
      </c>
      <c r="F25" s="112">
        <f>F24-F22-F13</f>
        <v>1868</v>
      </c>
      <c r="G25" s="112">
        <f>G24-G22-G13</f>
        <v>2534</v>
      </c>
      <c r="H25" s="112">
        <f>H24-H22-H13</f>
        <v>3839</v>
      </c>
      <c r="I25" s="135">
        <f>I24-I22-I13</f>
        <v>1862</v>
      </c>
      <c r="J25" s="140">
        <f t="shared" si="0"/>
        <v>11073</v>
      </c>
    </row>
    <row r="26" spans="1:10" ht="14.25" thickBot="1">
      <c r="A26" s="97">
        <f t="shared" si="1"/>
        <v>22</v>
      </c>
      <c r="B26" s="172" t="s">
        <v>23</v>
      </c>
      <c r="C26" s="173"/>
      <c r="D26" s="174"/>
      <c r="E26" s="116">
        <f aca="true" t="shared" si="3" ref="E26:J26">IF(E24=0,0,(E25+E16)/E24)</f>
        <v>0.8157894736842105</v>
      </c>
      <c r="F26" s="117">
        <f t="shared" si="3"/>
        <v>0.8953389830508475</v>
      </c>
      <c r="G26" s="117">
        <f t="shared" si="3"/>
        <v>0.9546313799621928</v>
      </c>
      <c r="H26" s="117">
        <f t="shared" si="3"/>
        <v>0.9162486368593239</v>
      </c>
      <c r="I26" s="136">
        <f t="shared" si="3"/>
        <v>0.8896349139739824</v>
      </c>
      <c r="J26" s="31">
        <f t="shared" si="3"/>
        <v>0.9060048495221794</v>
      </c>
    </row>
    <row r="27" spans="1:10" ht="14.25" thickBot="1">
      <c r="A27" s="97">
        <f t="shared" si="1"/>
        <v>23</v>
      </c>
      <c r="B27" s="175" t="s">
        <v>24</v>
      </c>
      <c r="C27" s="176"/>
      <c r="D27" s="177"/>
      <c r="E27" s="113">
        <f aca="true" t="shared" si="4" ref="E27:J27">+E23/E22</f>
        <v>77.02176360225141</v>
      </c>
      <c r="F27" s="114">
        <f t="shared" si="4"/>
        <v>33.48109243697479</v>
      </c>
      <c r="G27" s="114">
        <f t="shared" si="4"/>
        <v>339.0521327014218</v>
      </c>
      <c r="H27" s="114">
        <f t="shared" si="4"/>
        <v>46.54680534918276</v>
      </c>
      <c r="I27" s="137">
        <f t="shared" si="4"/>
        <v>47.68695652173913</v>
      </c>
      <c r="J27" s="27">
        <f t="shared" si="4"/>
        <v>117.07084684684683</v>
      </c>
    </row>
    <row r="28" spans="1:10" ht="13.5">
      <c r="A28" s="1"/>
      <c r="B28" s="1"/>
      <c r="C28" s="1"/>
      <c r="D28" s="1"/>
      <c r="E28" s="2"/>
      <c r="F28" s="2"/>
      <c r="G28" s="2"/>
      <c r="H28" s="2"/>
      <c r="I28" s="2"/>
      <c r="J28" s="2"/>
    </row>
  </sheetData>
  <mergeCells count="21">
    <mergeCell ref="A1:J1"/>
    <mergeCell ref="A2:J2"/>
    <mergeCell ref="A3:J3"/>
    <mergeCell ref="B4:D4"/>
    <mergeCell ref="B5:D5"/>
    <mergeCell ref="B6:D6"/>
    <mergeCell ref="B7:D7"/>
    <mergeCell ref="B8:B13"/>
    <mergeCell ref="C8:D8"/>
    <mergeCell ref="C9:D9"/>
    <mergeCell ref="C10:D10"/>
    <mergeCell ref="C11:D11"/>
    <mergeCell ref="C12:D12"/>
    <mergeCell ref="C13:D13"/>
    <mergeCell ref="B25:D25"/>
    <mergeCell ref="B26:D26"/>
    <mergeCell ref="B27:D27"/>
    <mergeCell ref="B14:B23"/>
    <mergeCell ref="C22:D22"/>
    <mergeCell ref="C23:D23"/>
    <mergeCell ref="B24:D24"/>
  </mergeCells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6" sqref="A6:A27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35.421875" style="0" customWidth="1"/>
    <col min="4" max="4" width="12.421875" style="0" bestFit="1" customWidth="1"/>
    <col min="5" max="7" width="8.8515625" style="0" bestFit="1" customWidth="1"/>
    <col min="8" max="9" width="7.00390625" style="0" bestFit="1" customWidth="1"/>
    <col min="10" max="10" width="8.00390625" style="0" bestFit="1" customWidth="1"/>
  </cols>
  <sheetData>
    <row r="1" spans="1:10" ht="17.25">
      <c r="A1" s="153" t="s">
        <v>25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">
      <c r="A2" s="154" t="s">
        <v>27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5.75" thickBot="1">
      <c r="A3" s="154" t="s">
        <v>36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57.75" thickBot="1">
      <c r="A4" s="34" t="s">
        <v>0</v>
      </c>
      <c r="B4" s="198" t="s">
        <v>1</v>
      </c>
      <c r="C4" s="199"/>
      <c r="D4" s="199"/>
      <c r="E4" s="61" t="s">
        <v>28</v>
      </c>
      <c r="F4" s="60" t="s">
        <v>29</v>
      </c>
      <c r="G4" s="60" t="s">
        <v>3</v>
      </c>
      <c r="H4" s="60" t="s">
        <v>2</v>
      </c>
      <c r="I4" s="60" t="s">
        <v>30</v>
      </c>
      <c r="J4" s="53" t="s">
        <v>4</v>
      </c>
    </row>
    <row r="5" spans="1:10" ht="13.5">
      <c r="A5" s="32">
        <v>1</v>
      </c>
      <c r="B5" s="192" t="s">
        <v>5</v>
      </c>
      <c r="C5" s="193"/>
      <c r="D5" s="194"/>
      <c r="E5" s="12">
        <v>1688</v>
      </c>
      <c r="F5" s="10">
        <v>2535</v>
      </c>
      <c r="G5" s="59">
        <v>3309</v>
      </c>
      <c r="H5" s="59">
        <v>4861</v>
      </c>
      <c r="I5" s="10">
        <v>2500</v>
      </c>
      <c r="J5" s="54">
        <f aca="true" t="shared" si="0" ref="J5:J25">SUM(E5:I5)</f>
        <v>14893</v>
      </c>
    </row>
    <row r="6" spans="1:10" ht="13.5">
      <c r="A6" s="17">
        <f>A5+1</f>
        <v>2</v>
      </c>
      <c r="B6" s="195" t="s">
        <v>6</v>
      </c>
      <c r="C6" s="196"/>
      <c r="D6" s="186"/>
      <c r="E6" s="62">
        <v>36</v>
      </c>
      <c r="F6" s="3">
        <v>0</v>
      </c>
      <c r="G6" s="4">
        <v>38</v>
      </c>
      <c r="H6" s="4">
        <v>13</v>
      </c>
      <c r="I6" s="3">
        <v>0</v>
      </c>
      <c r="J6" s="54">
        <f t="shared" si="0"/>
        <v>87</v>
      </c>
    </row>
    <row r="7" spans="1:10" ht="13.5">
      <c r="A7" s="17">
        <f aca="true" t="shared" si="1" ref="A7:A27">A6+1</f>
        <v>3</v>
      </c>
      <c r="B7" s="195" t="s">
        <v>20</v>
      </c>
      <c r="C7" s="196"/>
      <c r="D7" s="186"/>
      <c r="E7" s="62">
        <f>SUM(E5:E6)</f>
        <v>1724</v>
      </c>
      <c r="F7" s="3">
        <f>SUM(F5:F6)</f>
        <v>2535</v>
      </c>
      <c r="G7" s="3">
        <f>SUM(G5:G6)</f>
        <v>3347</v>
      </c>
      <c r="H7" s="3">
        <f>SUM(H5:H6)</f>
        <v>4874</v>
      </c>
      <c r="I7" s="3">
        <f>SUM(I5:I6)</f>
        <v>2500</v>
      </c>
      <c r="J7" s="54">
        <f t="shared" si="0"/>
        <v>14980</v>
      </c>
    </row>
    <row r="8" spans="1:10" ht="13.5">
      <c r="A8" s="17">
        <f t="shared" si="1"/>
        <v>4</v>
      </c>
      <c r="B8" s="182" t="s">
        <v>7</v>
      </c>
      <c r="C8" s="185" t="s">
        <v>8</v>
      </c>
      <c r="D8" s="186"/>
      <c r="E8" s="63">
        <v>20</v>
      </c>
      <c r="F8" s="5">
        <v>14</v>
      </c>
      <c r="G8" s="6">
        <v>6</v>
      </c>
      <c r="H8" s="6">
        <v>0</v>
      </c>
      <c r="I8" s="5">
        <v>0</v>
      </c>
      <c r="J8" s="54">
        <f t="shared" si="0"/>
        <v>40</v>
      </c>
    </row>
    <row r="9" spans="1:10" ht="13.5">
      <c r="A9" s="17">
        <f t="shared" si="1"/>
        <v>5</v>
      </c>
      <c r="B9" s="183"/>
      <c r="C9" s="185" t="s">
        <v>9</v>
      </c>
      <c r="D9" s="186"/>
      <c r="E9" s="62">
        <v>7</v>
      </c>
      <c r="F9" s="5">
        <v>28</v>
      </c>
      <c r="G9" s="6">
        <v>17</v>
      </c>
      <c r="H9" s="6">
        <v>28</v>
      </c>
      <c r="I9" s="5">
        <v>19</v>
      </c>
      <c r="J9" s="54">
        <f t="shared" si="0"/>
        <v>99</v>
      </c>
    </row>
    <row r="10" spans="1:10" ht="13.5">
      <c r="A10" s="17">
        <f t="shared" si="1"/>
        <v>6</v>
      </c>
      <c r="B10" s="183"/>
      <c r="C10" s="185" t="s">
        <v>10</v>
      </c>
      <c r="D10" s="186"/>
      <c r="E10" s="62">
        <v>8</v>
      </c>
      <c r="F10" s="5">
        <v>33</v>
      </c>
      <c r="G10" s="6">
        <v>16</v>
      </c>
      <c r="H10" s="6">
        <v>34</v>
      </c>
      <c r="I10" s="5">
        <v>39</v>
      </c>
      <c r="J10" s="54">
        <f t="shared" si="0"/>
        <v>130</v>
      </c>
    </row>
    <row r="11" spans="1:10" ht="13.5">
      <c r="A11" s="17">
        <f t="shared" si="1"/>
        <v>7</v>
      </c>
      <c r="B11" s="183"/>
      <c r="C11" s="185" t="s">
        <v>11</v>
      </c>
      <c r="D11" s="186"/>
      <c r="E11" s="62">
        <v>0</v>
      </c>
      <c r="F11" s="5">
        <v>37</v>
      </c>
      <c r="G11" s="6">
        <v>6</v>
      </c>
      <c r="H11" s="6">
        <v>5</v>
      </c>
      <c r="I11" s="5">
        <v>6</v>
      </c>
      <c r="J11" s="54">
        <f t="shared" si="0"/>
        <v>54</v>
      </c>
    </row>
    <row r="12" spans="1:10" ht="13.5">
      <c r="A12" s="17">
        <f t="shared" si="1"/>
        <v>8</v>
      </c>
      <c r="B12" s="183"/>
      <c r="C12" s="185" t="s">
        <v>12</v>
      </c>
      <c r="D12" s="186"/>
      <c r="E12" s="64">
        <f>E8+E9</f>
        <v>27</v>
      </c>
      <c r="F12" s="4">
        <f>F8+F9</f>
        <v>42</v>
      </c>
      <c r="G12" s="4">
        <f>G8+G9</f>
        <v>23</v>
      </c>
      <c r="H12" s="4">
        <f>H8+H9</f>
        <v>28</v>
      </c>
      <c r="I12" s="4">
        <f>I8+I9</f>
        <v>19</v>
      </c>
      <c r="J12" s="54">
        <f t="shared" si="0"/>
        <v>139</v>
      </c>
    </row>
    <row r="13" spans="1:10" ht="13.5">
      <c r="A13" s="17">
        <f t="shared" si="1"/>
        <v>9</v>
      </c>
      <c r="B13" s="197"/>
      <c r="C13" s="185" t="s">
        <v>13</v>
      </c>
      <c r="D13" s="186"/>
      <c r="E13" s="64">
        <f>E10+E11</f>
        <v>8</v>
      </c>
      <c r="F13" s="4">
        <f>F10+F11</f>
        <v>70</v>
      </c>
      <c r="G13" s="4">
        <f>G10+G11</f>
        <v>22</v>
      </c>
      <c r="H13" s="4">
        <f>H10+H11</f>
        <v>39</v>
      </c>
      <c r="I13" s="4">
        <f>I10+I11</f>
        <v>45</v>
      </c>
      <c r="J13" s="54">
        <f t="shared" si="0"/>
        <v>184</v>
      </c>
    </row>
    <row r="14" spans="1:10" ht="13.5">
      <c r="A14" s="17">
        <f t="shared" si="1"/>
        <v>10</v>
      </c>
      <c r="B14" s="182" t="s">
        <v>14</v>
      </c>
      <c r="C14" s="7" t="s">
        <v>15</v>
      </c>
      <c r="D14" s="77" t="s">
        <v>16</v>
      </c>
      <c r="E14" s="62">
        <v>0</v>
      </c>
      <c r="F14" s="3">
        <v>10</v>
      </c>
      <c r="G14" s="4">
        <v>0</v>
      </c>
      <c r="H14" s="4">
        <v>0</v>
      </c>
      <c r="I14" s="3">
        <v>0</v>
      </c>
      <c r="J14" s="54">
        <f t="shared" si="0"/>
        <v>10</v>
      </c>
    </row>
    <row r="15" spans="1:10" ht="13.5">
      <c r="A15" s="17">
        <f t="shared" si="1"/>
        <v>11</v>
      </c>
      <c r="B15" s="183"/>
      <c r="C15" s="8"/>
      <c r="D15" s="77" t="s">
        <v>17</v>
      </c>
      <c r="E15" s="62">
        <v>0</v>
      </c>
      <c r="F15" s="4">
        <f>4*60+4</f>
        <v>244</v>
      </c>
      <c r="G15" s="4">
        <v>0</v>
      </c>
      <c r="H15" s="4">
        <v>0</v>
      </c>
      <c r="I15" s="4">
        <v>0</v>
      </c>
      <c r="J15" s="54">
        <f t="shared" si="0"/>
        <v>244</v>
      </c>
    </row>
    <row r="16" spans="1:10" ht="13.5">
      <c r="A16" s="17">
        <f t="shared" si="1"/>
        <v>12</v>
      </c>
      <c r="B16" s="183"/>
      <c r="C16" s="7" t="s">
        <v>9</v>
      </c>
      <c r="D16" s="77" t="s">
        <v>16</v>
      </c>
      <c r="E16" s="62">
        <v>286</v>
      </c>
      <c r="F16" s="3">
        <v>300</v>
      </c>
      <c r="G16" s="4">
        <v>506</v>
      </c>
      <c r="H16" s="4">
        <v>352</v>
      </c>
      <c r="I16" s="3">
        <v>253</v>
      </c>
      <c r="J16" s="54">
        <f t="shared" si="0"/>
        <v>1697</v>
      </c>
    </row>
    <row r="17" spans="1:10" ht="13.5">
      <c r="A17" s="17">
        <f t="shared" si="1"/>
        <v>13</v>
      </c>
      <c r="B17" s="183"/>
      <c r="C17" s="8"/>
      <c r="D17" s="77" t="s">
        <v>17</v>
      </c>
      <c r="E17" s="62">
        <f>351*60+88</f>
        <v>21148</v>
      </c>
      <c r="F17" s="3">
        <f>201*60+14</f>
        <v>12074</v>
      </c>
      <c r="G17" s="4">
        <f>458*60</f>
        <v>27480</v>
      </c>
      <c r="H17" s="4">
        <f>278*60+4</f>
        <v>16684</v>
      </c>
      <c r="I17" s="4">
        <f>256*60+2</f>
        <v>15362</v>
      </c>
      <c r="J17" s="54">
        <f t="shared" si="0"/>
        <v>92748</v>
      </c>
    </row>
    <row r="18" spans="1:10" ht="13.5">
      <c r="A18" s="17">
        <f t="shared" si="1"/>
        <v>14</v>
      </c>
      <c r="B18" s="183"/>
      <c r="C18" s="7" t="s">
        <v>10</v>
      </c>
      <c r="D18" s="77" t="s">
        <v>16</v>
      </c>
      <c r="E18" s="62">
        <v>94</v>
      </c>
      <c r="F18" s="3">
        <v>209</v>
      </c>
      <c r="G18" s="4">
        <v>430</v>
      </c>
      <c r="H18" s="4">
        <v>168</v>
      </c>
      <c r="I18" s="3">
        <v>129</v>
      </c>
      <c r="J18" s="54">
        <f t="shared" si="0"/>
        <v>1030</v>
      </c>
    </row>
    <row r="19" spans="1:10" ht="13.5">
      <c r="A19" s="17">
        <f t="shared" si="1"/>
        <v>15</v>
      </c>
      <c r="B19" s="183"/>
      <c r="C19" s="8"/>
      <c r="D19" s="77" t="s">
        <v>17</v>
      </c>
      <c r="E19" s="62">
        <f>130*60+18</f>
        <v>7818</v>
      </c>
      <c r="F19" s="4">
        <f>198*60+39</f>
        <v>11919</v>
      </c>
      <c r="G19" s="4">
        <f>423*60</f>
        <v>25380</v>
      </c>
      <c r="H19" s="4">
        <f>201*60+4</f>
        <v>12064</v>
      </c>
      <c r="I19" s="4">
        <f>174*60+3</f>
        <v>10443</v>
      </c>
      <c r="J19" s="54">
        <f t="shared" si="0"/>
        <v>67624</v>
      </c>
    </row>
    <row r="20" spans="1:10" ht="13.5">
      <c r="A20" s="17">
        <f t="shared" si="1"/>
        <v>16</v>
      </c>
      <c r="B20" s="183"/>
      <c r="C20" s="7" t="s">
        <v>11</v>
      </c>
      <c r="D20" s="77" t="s">
        <v>16</v>
      </c>
      <c r="E20" s="62">
        <v>43</v>
      </c>
      <c r="F20" s="3">
        <v>164</v>
      </c>
      <c r="G20" s="4">
        <v>40</v>
      </c>
      <c r="H20" s="4">
        <v>75</v>
      </c>
      <c r="I20" s="3">
        <v>37</v>
      </c>
      <c r="J20" s="54">
        <f t="shared" si="0"/>
        <v>359</v>
      </c>
    </row>
    <row r="21" spans="1:10" ht="13.5">
      <c r="A21" s="17">
        <f t="shared" si="1"/>
        <v>17</v>
      </c>
      <c r="B21" s="183"/>
      <c r="C21" s="8"/>
      <c r="D21" s="77" t="s">
        <v>17</v>
      </c>
      <c r="E21" s="62">
        <f>41*60+45</f>
        <v>2505</v>
      </c>
      <c r="F21" s="4">
        <f>73*60+33</f>
        <v>4413</v>
      </c>
      <c r="G21" s="4">
        <f>32*60</f>
        <v>1920</v>
      </c>
      <c r="H21" s="4">
        <f>56*60+9</f>
        <v>3369</v>
      </c>
      <c r="I21" s="4">
        <f>27*60+7</f>
        <v>1627</v>
      </c>
      <c r="J21" s="54">
        <f t="shared" si="0"/>
        <v>13834</v>
      </c>
    </row>
    <row r="22" spans="1:10" ht="13.5">
      <c r="A22" s="17">
        <f t="shared" si="1"/>
        <v>18</v>
      </c>
      <c r="B22" s="183"/>
      <c r="C22" s="185" t="s">
        <v>18</v>
      </c>
      <c r="D22" s="186"/>
      <c r="E22" s="62">
        <f aca="true" t="shared" si="2" ref="E22:I23">E14+E16+E18+E20</f>
        <v>423</v>
      </c>
      <c r="F22" s="3">
        <f t="shared" si="2"/>
        <v>683</v>
      </c>
      <c r="G22" s="3">
        <f t="shared" si="2"/>
        <v>976</v>
      </c>
      <c r="H22" s="3">
        <f t="shared" si="2"/>
        <v>595</v>
      </c>
      <c r="I22" s="3">
        <f t="shared" si="2"/>
        <v>419</v>
      </c>
      <c r="J22" s="54">
        <f t="shared" si="0"/>
        <v>3096</v>
      </c>
    </row>
    <row r="23" spans="1:10" ht="14.25" thickBot="1">
      <c r="A23" s="17">
        <f t="shared" si="1"/>
        <v>19</v>
      </c>
      <c r="B23" s="184"/>
      <c r="C23" s="187" t="s">
        <v>19</v>
      </c>
      <c r="D23" s="188"/>
      <c r="E23" s="62">
        <f t="shared" si="2"/>
        <v>31471</v>
      </c>
      <c r="F23" s="3">
        <f t="shared" si="2"/>
        <v>28650</v>
      </c>
      <c r="G23" s="3">
        <f t="shared" si="2"/>
        <v>54780</v>
      </c>
      <c r="H23" s="3">
        <f t="shared" si="2"/>
        <v>32117</v>
      </c>
      <c r="I23" s="3">
        <f t="shared" si="2"/>
        <v>27432</v>
      </c>
      <c r="J23" s="54">
        <f t="shared" si="0"/>
        <v>174450</v>
      </c>
    </row>
    <row r="24" spans="1:10" ht="13.5">
      <c r="A24" s="17">
        <f t="shared" si="1"/>
        <v>20</v>
      </c>
      <c r="B24" s="189" t="s">
        <v>21</v>
      </c>
      <c r="C24" s="190"/>
      <c r="D24" s="191"/>
      <c r="E24" s="62">
        <f>E7-E12</f>
        <v>1697</v>
      </c>
      <c r="F24" s="3">
        <f>F7-F12</f>
        <v>2493</v>
      </c>
      <c r="G24" s="3">
        <f>G7-G12</f>
        <v>3324</v>
      </c>
      <c r="H24" s="3">
        <f>H7-H12</f>
        <v>4846</v>
      </c>
      <c r="I24" s="3">
        <f>I7-I12</f>
        <v>2481</v>
      </c>
      <c r="J24" s="54">
        <f t="shared" si="0"/>
        <v>14841</v>
      </c>
    </row>
    <row r="25" spans="1:10" ht="14.25" thickBot="1">
      <c r="A25" s="17">
        <f t="shared" si="1"/>
        <v>21</v>
      </c>
      <c r="B25" s="179" t="s">
        <v>22</v>
      </c>
      <c r="C25" s="180"/>
      <c r="D25" s="181"/>
      <c r="E25" s="14">
        <f>E24-E22-E13</f>
        <v>1266</v>
      </c>
      <c r="F25" s="15">
        <f>F24-F22-F13</f>
        <v>1740</v>
      </c>
      <c r="G25" s="15">
        <f>G24-G22-G13</f>
        <v>2326</v>
      </c>
      <c r="H25" s="15">
        <f>H24-H22-H13</f>
        <v>4212</v>
      </c>
      <c r="I25" s="15">
        <f>I24-I22-I13</f>
        <v>2017</v>
      </c>
      <c r="J25" s="55">
        <f t="shared" si="0"/>
        <v>11561</v>
      </c>
    </row>
    <row r="26" spans="1:10" ht="14.25" thickBot="1">
      <c r="A26" s="17">
        <f t="shared" si="1"/>
        <v>22</v>
      </c>
      <c r="B26" s="172" t="s">
        <v>23</v>
      </c>
      <c r="C26" s="173"/>
      <c r="D26" s="174"/>
      <c r="E26" s="116">
        <f aca="true" t="shared" si="3" ref="E26:J26">IF(E24=0,0,(E25+E16)/E24)</f>
        <v>0.9145550972304066</v>
      </c>
      <c r="F26" s="117">
        <f t="shared" si="3"/>
        <v>0.8182912154031288</v>
      </c>
      <c r="G26" s="117">
        <f t="shared" si="3"/>
        <v>0.851985559566787</v>
      </c>
      <c r="H26" s="117">
        <f t="shared" si="3"/>
        <v>0.9418076764341725</v>
      </c>
      <c r="I26" s="117">
        <f t="shared" si="3"/>
        <v>0.9149536477226925</v>
      </c>
      <c r="J26" s="118">
        <f t="shared" si="3"/>
        <v>0.8933360285695034</v>
      </c>
    </row>
    <row r="27" spans="1:10" ht="14.25" thickBot="1">
      <c r="A27" s="17">
        <f t="shared" si="1"/>
        <v>23</v>
      </c>
      <c r="B27" s="175" t="s">
        <v>24</v>
      </c>
      <c r="C27" s="176"/>
      <c r="D27" s="177"/>
      <c r="E27" s="113">
        <f aca="true" t="shared" si="4" ref="E27:J27">+E23/E22</f>
        <v>74.39952718676123</v>
      </c>
      <c r="F27" s="114">
        <f t="shared" si="4"/>
        <v>41.94729136163983</v>
      </c>
      <c r="G27" s="114">
        <f t="shared" si="4"/>
        <v>56.127049180327866</v>
      </c>
      <c r="H27" s="114">
        <f t="shared" si="4"/>
        <v>53.9781512605042</v>
      </c>
      <c r="I27" s="114">
        <f t="shared" si="4"/>
        <v>65.47016706443914</v>
      </c>
      <c r="J27" s="115">
        <f t="shared" si="4"/>
        <v>56.3468992248062</v>
      </c>
    </row>
    <row r="28" spans="1:10" ht="13.5">
      <c r="A28" s="1"/>
      <c r="B28" s="1"/>
      <c r="C28" s="1"/>
      <c r="D28" s="1"/>
      <c r="E28" s="2"/>
      <c r="F28" s="2"/>
      <c r="G28" s="2"/>
      <c r="H28" s="2"/>
      <c r="I28" s="2"/>
      <c r="J28" s="2"/>
    </row>
  </sheetData>
  <mergeCells count="21">
    <mergeCell ref="A1:J1"/>
    <mergeCell ref="A2:J2"/>
    <mergeCell ref="A3:J3"/>
    <mergeCell ref="B4:D4"/>
    <mergeCell ref="B5:D5"/>
    <mergeCell ref="B6:D6"/>
    <mergeCell ref="B7:D7"/>
    <mergeCell ref="B8:B13"/>
    <mergeCell ref="C8:D8"/>
    <mergeCell ref="C9:D9"/>
    <mergeCell ref="C10:D10"/>
    <mergeCell ref="C11:D11"/>
    <mergeCell ref="C12:D12"/>
    <mergeCell ref="C13:D13"/>
    <mergeCell ref="B25:D25"/>
    <mergeCell ref="B26:D26"/>
    <mergeCell ref="B27:D27"/>
    <mergeCell ref="B14:B23"/>
    <mergeCell ref="C22:D22"/>
    <mergeCell ref="C23:D23"/>
    <mergeCell ref="B24:D2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6" sqref="A6:A27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35.421875" style="0" customWidth="1"/>
    <col min="4" max="4" width="12.421875" style="0" bestFit="1" customWidth="1"/>
    <col min="5" max="9" width="7.00390625" style="0" bestFit="1" customWidth="1"/>
    <col min="10" max="10" width="8.00390625" style="0" bestFit="1" customWidth="1"/>
  </cols>
  <sheetData>
    <row r="1" spans="1:10" ht="17.25">
      <c r="A1" s="153" t="s">
        <v>25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">
      <c r="A2" s="154" t="s">
        <v>27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5.75" thickBot="1">
      <c r="A3" s="201" t="s">
        <v>38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57.75" thickBot="1">
      <c r="A4" s="34" t="s">
        <v>0</v>
      </c>
      <c r="B4" s="199" t="s">
        <v>1</v>
      </c>
      <c r="C4" s="199"/>
      <c r="D4" s="202"/>
      <c r="E4" s="61" t="s">
        <v>28</v>
      </c>
      <c r="F4" s="60" t="s">
        <v>29</v>
      </c>
      <c r="G4" s="60" t="s">
        <v>3</v>
      </c>
      <c r="H4" s="60" t="s">
        <v>2</v>
      </c>
      <c r="I4" s="68" t="s">
        <v>30</v>
      </c>
      <c r="J4" s="53" t="s">
        <v>4</v>
      </c>
    </row>
    <row r="5" spans="1:10" ht="13.5">
      <c r="A5" s="69">
        <v>1</v>
      </c>
      <c r="B5" s="190" t="s">
        <v>5</v>
      </c>
      <c r="C5" s="190"/>
      <c r="D5" s="190"/>
      <c r="E5" s="12">
        <v>1834</v>
      </c>
      <c r="F5" s="10">
        <v>2394</v>
      </c>
      <c r="G5" s="59">
        <v>3332</v>
      </c>
      <c r="H5" s="59">
        <v>4997</v>
      </c>
      <c r="I5" s="13">
        <v>2418</v>
      </c>
      <c r="J5" s="54">
        <f aca="true" t="shared" si="0" ref="J5:J25">SUM(E5:I5)</f>
        <v>14975</v>
      </c>
    </row>
    <row r="6" spans="1:10" ht="13.5">
      <c r="A6" s="70">
        <f>A5+1</f>
        <v>2</v>
      </c>
      <c r="B6" s="196" t="s">
        <v>6</v>
      </c>
      <c r="C6" s="196"/>
      <c r="D6" s="196"/>
      <c r="E6" s="62">
        <v>12</v>
      </c>
      <c r="F6" s="3"/>
      <c r="G6" s="4">
        <v>7</v>
      </c>
      <c r="H6" s="4">
        <v>20</v>
      </c>
      <c r="I6" s="65">
        <v>9</v>
      </c>
      <c r="J6" s="54">
        <f t="shared" si="0"/>
        <v>48</v>
      </c>
    </row>
    <row r="7" spans="1:10" ht="13.5">
      <c r="A7" s="70">
        <f aca="true" t="shared" si="1" ref="A7:A27">A6+1</f>
        <v>3</v>
      </c>
      <c r="B7" s="196" t="s">
        <v>20</v>
      </c>
      <c r="C7" s="196"/>
      <c r="D7" s="196"/>
      <c r="E7" s="62">
        <f>SUM(E5:E6)</f>
        <v>1846</v>
      </c>
      <c r="F7" s="3">
        <f>SUM(F5:F6)</f>
        <v>2394</v>
      </c>
      <c r="G7" s="3">
        <f>SUM(G5:G6)</f>
        <v>3339</v>
      </c>
      <c r="H7" s="3">
        <f>SUM(H5:H6)</f>
        <v>5017</v>
      </c>
      <c r="I7" s="65">
        <f>SUM(I5:I6)</f>
        <v>2427</v>
      </c>
      <c r="J7" s="54">
        <f t="shared" si="0"/>
        <v>15023</v>
      </c>
    </row>
    <row r="8" spans="1:10" ht="13.5">
      <c r="A8" s="70">
        <f t="shared" si="1"/>
        <v>4</v>
      </c>
      <c r="B8" s="203" t="s">
        <v>7</v>
      </c>
      <c r="C8" s="185" t="s">
        <v>8</v>
      </c>
      <c r="D8" s="196"/>
      <c r="E8" s="63">
        <v>46</v>
      </c>
      <c r="F8" s="5">
        <v>33</v>
      </c>
      <c r="G8" s="6">
        <v>4</v>
      </c>
      <c r="H8" s="6"/>
      <c r="I8" s="66"/>
      <c r="J8" s="54">
        <f t="shared" si="0"/>
        <v>83</v>
      </c>
    </row>
    <row r="9" spans="1:10" ht="13.5">
      <c r="A9" s="70">
        <f t="shared" si="1"/>
        <v>5</v>
      </c>
      <c r="B9" s="204"/>
      <c r="C9" s="185" t="s">
        <v>9</v>
      </c>
      <c r="D9" s="196"/>
      <c r="E9" s="62">
        <v>31</v>
      </c>
      <c r="F9" s="5">
        <v>21</v>
      </c>
      <c r="G9" s="6">
        <v>21</v>
      </c>
      <c r="H9" s="6">
        <v>64</v>
      </c>
      <c r="I9" s="66">
        <v>23</v>
      </c>
      <c r="J9" s="54">
        <f t="shared" si="0"/>
        <v>160</v>
      </c>
    </row>
    <row r="10" spans="1:10" ht="13.5">
      <c r="A10" s="70">
        <f t="shared" si="1"/>
        <v>6</v>
      </c>
      <c r="B10" s="204"/>
      <c r="C10" s="185" t="s">
        <v>10</v>
      </c>
      <c r="D10" s="196"/>
      <c r="E10" s="62">
        <v>1</v>
      </c>
      <c r="F10" s="5">
        <v>31</v>
      </c>
      <c r="G10" s="6">
        <v>10</v>
      </c>
      <c r="H10" s="6">
        <v>35</v>
      </c>
      <c r="I10" s="66">
        <v>36</v>
      </c>
      <c r="J10" s="54">
        <f t="shared" si="0"/>
        <v>113</v>
      </c>
    </row>
    <row r="11" spans="1:10" ht="13.5">
      <c r="A11" s="70">
        <f t="shared" si="1"/>
        <v>7</v>
      </c>
      <c r="B11" s="204"/>
      <c r="C11" s="185" t="s">
        <v>11</v>
      </c>
      <c r="D11" s="196"/>
      <c r="E11" s="62">
        <v>2</v>
      </c>
      <c r="F11" s="5">
        <v>8</v>
      </c>
      <c r="G11" s="6">
        <v>4</v>
      </c>
      <c r="H11" s="6">
        <v>4</v>
      </c>
      <c r="I11" s="66"/>
      <c r="J11" s="54">
        <f t="shared" si="0"/>
        <v>18</v>
      </c>
    </row>
    <row r="12" spans="1:10" ht="13.5">
      <c r="A12" s="70">
        <f t="shared" si="1"/>
        <v>8</v>
      </c>
      <c r="B12" s="204"/>
      <c r="C12" s="185" t="s">
        <v>12</v>
      </c>
      <c r="D12" s="196"/>
      <c r="E12" s="64">
        <f>E8+E9</f>
        <v>77</v>
      </c>
      <c r="F12" s="4">
        <f>F8+F9</f>
        <v>54</v>
      </c>
      <c r="G12" s="4">
        <f>G8+G9</f>
        <v>25</v>
      </c>
      <c r="H12" s="4">
        <f>H8+H9</f>
        <v>64</v>
      </c>
      <c r="I12" s="67">
        <f>I8+I9</f>
        <v>23</v>
      </c>
      <c r="J12" s="54">
        <f t="shared" si="0"/>
        <v>243</v>
      </c>
    </row>
    <row r="13" spans="1:10" ht="13.5">
      <c r="A13" s="70">
        <f t="shared" si="1"/>
        <v>9</v>
      </c>
      <c r="B13" s="205"/>
      <c r="C13" s="185" t="s">
        <v>13</v>
      </c>
      <c r="D13" s="196"/>
      <c r="E13" s="64">
        <f>E10+E11</f>
        <v>3</v>
      </c>
      <c r="F13" s="4">
        <f>F10+F11</f>
        <v>39</v>
      </c>
      <c r="G13" s="4">
        <f>G10+G11</f>
        <v>14</v>
      </c>
      <c r="H13" s="4">
        <f>H10+H11</f>
        <v>39</v>
      </c>
      <c r="I13" s="67">
        <f>I10+I11</f>
        <v>36</v>
      </c>
      <c r="J13" s="54">
        <f t="shared" si="0"/>
        <v>131</v>
      </c>
    </row>
    <row r="14" spans="1:10" ht="13.5">
      <c r="A14" s="70">
        <f t="shared" si="1"/>
        <v>10</v>
      </c>
      <c r="B14" s="182" t="s">
        <v>14</v>
      </c>
      <c r="C14" s="7" t="s">
        <v>15</v>
      </c>
      <c r="D14" s="77" t="s">
        <v>16</v>
      </c>
      <c r="E14" s="62"/>
      <c r="F14" s="3"/>
      <c r="G14" s="4"/>
      <c r="H14" s="4"/>
      <c r="I14" s="65"/>
      <c r="J14" s="54">
        <f t="shared" si="0"/>
        <v>0</v>
      </c>
    </row>
    <row r="15" spans="1:10" ht="13.5">
      <c r="A15" s="70">
        <f t="shared" si="1"/>
        <v>11</v>
      </c>
      <c r="B15" s="183"/>
      <c r="C15" s="8"/>
      <c r="D15" s="77" t="s">
        <v>17</v>
      </c>
      <c r="E15" s="62"/>
      <c r="F15" s="4"/>
      <c r="G15" s="4"/>
      <c r="H15" s="4"/>
      <c r="I15" s="67"/>
      <c r="J15" s="54">
        <f t="shared" si="0"/>
        <v>0</v>
      </c>
    </row>
    <row r="16" spans="1:10" ht="13.5">
      <c r="A16" s="70">
        <f t="shared" si="1"/>
        <v>12</v>
      </c>
      <c r="B16" s="183"/>
      <c r="C16" s="7" t="s">
        <v>9</v>
      </c>
      <c r="D16" s="77" t="s">
        <v>16</v>
      </c>
      <c r="E16" s="62">
        <v>532</v>
      </c>
      <c r="F16" s="3">
        <v>258</v>
      </c>
      <c r="G16" s="4">
        <v>596</v>
      </c>
      <c r="H16" s="4">
        <v>482</v>
      </c>
      <c r="I16" s="65">
        <v>239</v>
      </c>
      <c r="J16" s="54">
        <f t="shared" si="0"/>
        <v>2107</v>
      </c>
    </row>
    <row r="17" spans="1:10" ht="13.5">
      <c r="A17" s="70">
        <f t="shared" si="1"/>
        <v>13</v>
      </c>
      <c r="B17" s="183"/>
      <c r="C17" s="8"/>
      <c r="D17" s="77" t="s">
        <v>17</v>
      </c>
      <c r="E17" s="62">
        <f>253.02*60</f>
        <v>15181.2</v>
      </c>
      <c r="F17" s="3">
        <f>163*60</f>
        <v>9780</v>
      </c>
      <c r="G17" s="4">
        <f>591*60</f>
        <v>35460</v>
      </c>
      <c r="H17" s="4">
        <f>480*60</f>
        <v>28800</v>
      </c>
      <c r="I17" s="67">
        <f>253.3*60</f>
        <v>15198</v>
      </c>
      <c r="J17" s="54">
        <f t="shared" si="0"/>
        <v>104419.2</v>
      </c>
    </row>
    <row r="18" spans="1:10" ht="13.5">
      <c r="A18" s="70">
        <f t="shared" si="1"/>
        <v>14</v>
      </c>
      <c r="B18" s="183"/>
      <c r="C18" s="7" t="s">
        <v>10</v>
      </c>
      <c r="D18" s="77" t="s">
        <v>16</v>
      </c>
      <c r="E18" s="62">
        <v>192</v>
      </c>
      <c r="F18" s="3">
        <v>165</v>
      </c>
      <c r="G18" s="4">
        <v>239</v>
      </c>
      <c r="H18" s="4">
        <v>224</v>
      </c>
      <c r="I18" s="65">
        <v>132</v>
      </c>
      <c r="J18" s="54">
        <f t="shared" si="0"/>
        <v>952</v>
      </c>
    </row>
    <row r="19" spans="1:10" ht="13.5">
      <c r="A19" s="70">
        <f t="shared" si="1"/>
        <v>15</v>
      </c>
      <c r="B19" s="183"/>
      <c r="C19" s="8"/>
      <c r="D19" s="77" t="s">
        <v>17</v>
      </c>
      <c r="E19" s="62">
        <f>758.47*60</f>
        <v>45508.200000000004</v>
      </c>
      <c r="F19" s="4">
        <f>153*60+47</f>
        <v>9227</v>
      </c>
      <c r="G19" s="4">
        <f>237*60</f>
        <v>14220</v>
      </c>
      <c r="H19" s="4">
        <f>299.2*60</f>
        <v>17952</v>
      </c>
      <c r="I19" s="67">
        <f>171.4*60</f>
        <v>10284</v>
      </c>
      <c r="J19" s="54">
        <f t="shared" si="0"/>
        <v>97191.20000000001</v>
      </c>
    </row>
    <row r="20" spans="1:10" ht="13.5">
      <c r="A20" s="70">
        <f t="shared" si="1"/>
        <v>16</v>
      </c>
      <c r="B20" s="183"/>
      <c r="C20" s="7" t="s">
        <v>11</v>
      </c>
      <c r="D20" s="77" t="s">
        <v>16</v>
      </c>
      <c r="E20" s="62">
        <v>48</v>
      </c>
      <c r="F20" s="3">
        <v>142</v>
      </c>
      <c r="G20" s="4">
        <v>45</v>
      </c>
      <c r="H20" s="4">
        <v>84</v>
      </c>
      <c r="I20" s="65">
        <v>33</v>
      </c>
      <c r="J20" s="54">
        <f t="shared" si="0"/>
        <v>352</v>
      </c>
    </row>
    <row r="21" spans="1:10" ht="13.5">
      <c r="A21" s="70">
        <f t="shared" si="1"/>
        <v>17</v>
      </c>
      <c r="B21" s="183"/>
      <c r="C21" s="8"/>
      <c r="D21" s="77" t="s">
        <v>17</v>
      </c>
      <c r="E21" s="62">
        <f>63.22*60</f>
        <v>3793.2</v>
      </c>
      <c r="F21" s="4">
        <f>68*60+31</f>
        <v>4111</v>
      </c>
      <c r="G21" s="4">
        <f>24*60</f>
        <v>1440</v>
      </c>
      <c r="H21" s="4">
        <f>56*60</f>
        <v>3360</v>
      </c>
      <c r="I21" s="67">
        <f>17.9*60</f>
        <v>1074</v>
      </c>
      <c r="J21" s="54">
        <f t="shared" si="0"/>
        <v>13778.2</v>
      </c>
    </row>
    <row r="22" spans="1:10" ht="13.5">
      <c r="A22" s="70">
        <f t="shared" si="1"/>
        <v>18</v>
      </c>
      <c r="B22" s="183"/>
      <c r="C22" s="185" t="s">
        <v>18</v>
      </c>
      <c r="D22" s="186"/>
      <c r="E22" s="62">
        <f aca="true" t="shared" si="2" ref="E22:I23">E14+E16+E18+E20</f>
        <v>772</v>
      </c>
      <c r="F22" s="3">
        <f t="shared" si="2"/>
        <v>565</v>
      </c>
      <c r="G22" s="3">
        <f t="shared" si="2"/>
        <v>880</v>
      </c>
      <c r="H22" s="3">
        <f t="shared" si="2"/>
        <v>790</v>
      </c>
      <c r="I22" s="65">
        <f t="shared" si="2"/>
        <v>404</v>
      </c>
      <c r="J22" s="54">
        <f t="shared" si="0"/>
        <v>3411</v>
      </c>
    </row>
    <row r="23" spans="1:10" ht="14.25" thickBot="1">
      <c r="A23" s="70">
        <f t="shared" si="1"/>
        <v>19</v>
      </c>
      <c r="B23" s="184"/>
      <c r="C23" s="187" t="s">
        <v>19</v>
      </c>
      <c r="D23" s="188"/>
      <c r="E23" s="62">
        <f t="shared" si="2"/>
        <v>64482.600000000006</v>
      </c>
      <c r="F23" s="3">
        <f t="shared" si="2"/>
        <v>23118</v>
      </c>
      <c r="G23" s="3">
        <f t="shared" si="2"/>
        <v>51120</v>
      </c>
      <c r="H23" s="3">
        <f t="shared" si="2"/>
        <v>50112</v>
      </c>
      <c r="I23" s="65">
        <f t="shared" si="2"/>
        <v>26556</v>
      </c>
      <c r="J23" s="54">
        <f t="shared" si="0"/>
        <v>215388.6</v>
      </c>
    </row>
    <row r="24" spans="1:10" ht="13.5">
      <c r="A24" s="70">
        <f t="shared" si="1"/>
        <v>20</v>
      </c>
      <c r="B24" s="190" t="s">
        <v>21</v>
      </c>
      <c r="C24" s="190"/>
      <c r="D24" s="190"/>
      <c r="E24" s="62">
        <f>E7-E12</f>
        <v>1769</v>
      </c>
      <c r="F24" s="3">
        <f>F7-F12</f>
        <v>2340</v>
      </c>
      <c r="G24" s="3">
        <f>G7-G12</f>
        <v>3314</v>
      </c>
      <c r="H24" s="3">
        <f>H7-H12</f>
        <v>4953</v>
      </c>
      <c r="I24" s="65">
        <f>I7-I12</f>
        <v>2404</v>
      </c>
      <c r="J24" s="54">
        <f t="shared" si="0"/>
        <v>14780</v>
      </c>
    </row>
    <row r="25" spans="1:10" ht="14.25" thickBot="1">
      <c r="A25" s="70">
        <f t="shared" si="1"/>
        <v>21</v>
      </c>
      <c r="B25" s="180" t="s">
        <v>22</v>
      </c>
      <c r="C25" s="180"/>
      <c r="D25" s="180"/>
      <c r="E25" s="14">
        <f>E24-E22-E13</f>
        <v>994</v>
      </c>
      <c r="F25" s="15">
        <f>F24-F22-F13</f>
        <v>1736</v>
      </c>
      <c r="G25" s="15">
        <f>G24-G22-G13</f>
        <v>2420</v>
      </c>
      <c r="H25" s="15">
        <f>H24-H22-H13</f>
        <v>4124</v>
      </c>
      <c r="I25" s="16">
        <f>I24-I22-I13</f>
        <v>1964</v>
      </c>
      <c r="J25" s="55">
        <f t="shared" si="0"/>
        <v>11238</v>
      </c>
    </row>
    <row r="26" spans="1:10" ht="14.25" thickBot="1">
      <c r="A26" s="70">
        <f t="shared" si="1"/>
        <v>22</v>
      </c>
      <c r="B26" s="172" t="s">
        <v>23</v>
      </c>
      <c r="C26" s="173"/>
      <c r="D26" s="173"/>
      <c r="E26" s="117">
        <f aca="true" t="shared" si="3" ref="E26:J26">IF(E24=0,0,(E25+E16)/E24)</f>
        <v>0.8626342566421707</v>
      </c>
      <c r="F26" s="117">
        <f t="shared" si="3"/>
        <v>0.8521367521367521</v>
      </c>
      <c r="G26" s="117">
        <f t="shared" si="3"/>
        <v>0.9100784550392276</v>
      </c>
      <c r="H26" s="117">
        <f t="shared" si="3"/>
        <v>0.929941449626489</v>
      </c>
      <c r="I26" s="117">
        <f t="shared" si="3"/>
        <v>0.9163893510815307</v>
      </c>
      <c r="J26" s="118">
        <f t="shared" si="3"/>
        <v>0.9029093369418133</v>
      </c>
    </row>
    <row r="27" spans="1:10" ht="14.25" thickBot="1">
      <c r="A27" s="70">
        <f t="shared" si="1"/>
        <v>23</v>
      </c>
      <c r="B27" s="175" t="s">
        <v>24</v>
      </c>
      <c r="C27" s="176"/>
      <c r="D27" s="176"/>
      <c r="E27" s="114">
        <f aca="true" t="shared" si="4" ref="E27:J27">+E23/E22</f>
        <v>83.52668393782385</v>
      </c>
      <c r="F27" s="114">
        <f t="shared" si="4"/>
        <v>40.91681415929204</v>
      </c>
      <c r="G27" s="114">
        <f t="shared" si="4"/>
        <v>58.09090909090909</v>
      </c>
      <c r="H27" s="114">
        <f t="shared" si="4"/>
        <v>63.43291139240506</v>
      </c>
      <c r="I27" s="114">
        <f t="shared" si="4"/>
        <v>65.73267326732673</v>
      </c>
      <c r="J27" s="115">
        <f t="shared" si="4"/>
        <v>63.1452946350044</v>
      </c>
    </row>
    <row r="28" spans="1:10" ht="13.5">
      <c r="A28" s="1"/>
      <c r="B28" s="1"/>
      <c r="C28" s="1"/>
      <c r="D28" s="1"/>
      <c r="E28" s="2"/>
      <c r="F28" s="2"/>
      <c r="G28" s="2"/>
      <c r="H28" s="2"/>
      <c r="I28" s="2"/>
      <c r="J28" s="2"/>
    </row>
    <row r="30" spans="2:9" ht="12.75">
      <c r="B30" s="71"/>
      <c r="C30" s="71"/>
      <c r="D30" s="71"/>
      <c r="E30" s="72"/>
      <c r="F30" s="72"/>
      <c r="G30" s="72"/>
      <c r="H30" s="72"/>
      <c r="I30" s="72"/>
    </row>
    <row r="31" spans="2:9" ht="13.5">
      <c r="B31" s="200"/>
      <c r="C31" s="200"/>
      <c r="D31" s="200"/>
      <c r="E31" s="73"/>
      <c r="F31" s="73"/>
      <c r="G31" s="73"/>
      <c r="H31" s="73"/>
      <c r="I31" s="73"/>
    </row>
    <row r="32" spans="2:9" ht="12.75">
      <c r="B32" s="71"/>
      <c r="C32" s="71"/>
      <c r="D32" s="71"/>
      <c r="E32" s="71"/>
      <c r="F32" s="71"/>
      <c r="G32" s="71"/>
      <c r="H32" s="71"/>
      <c r="I32" s="71"/>
    </row>
  </sheetData>
  <mergeCells count="22">
    <mergeCell ref="B31:D31"/>
    <mergeCell ref="A1:J1"/>
    <mergeCell ref="A2:J2"/>
    <mergeCell ref="A3:J3"/>
    <mergeCell ref="B4:D4"/>
    <mergeCell ref="B5:D5"/>
    <mergeCell ref="B6:D6"/>
    <mergeCell ref="B7:D7"/>
    <mergeCell ref="B8:B13"/>
    <mergeCell ref="C8:D8"/>
    <mergeCell ref="C9:D9"/>
    <mergeCell ref="C10:D10"/>
    <mergeCell ref="C11:D11"/>
    <mergeCell ref="C12:D12"/>
    <mergeCell ref="C13:D13"/>
    <mergeCell ref="B25:D25"/>
    <mergeCell ref="B26:D26"/>
    <mergeCell ref="B27:D27"/>
    <mergeCell ref="B14:B23"/>
    <mergeCell ref="C22:D22"/>
    <mergeCell ref="C23:D23"/>
    <mergeCell ref="B24:D24"/>
  </mergeCells>
  <printOptions/>
  <pageMargins left="0.7874015748031497" right="0.7874015748031497" top="0" bottom="0.1968503937007874" header="0" footer="0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6" sqref="A6:A27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24.00390625" style="0" bestFit="1" customWidth="1"/>
    <col min="4" max="4" width="23.421875" style="0" customWidth="1"/>
    <col min="5" max="9" width="7.00390625" style="0" bestFit="1" customWidth="1"/>
    <col min="10" max="10" width="8.00390625" style="0" bestFit="1" customWidth="1"/>
  </cols>
  <sheetData>
    <row r="1" spans="1:10" ht="17.25">
      <c r="A1" s="153" t="s">
        <v>25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">
      <c r="A2" s="154" t="s">
        <v>27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5.75" thickBot="1">
      <c r="A3" s="201" t="s">
        <v>37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57.75" thickBot="1">
      <c r="A4" s="79" t="s">
        <v>0</v>
      </c>
      <c r="B4" s="198" t="s">
        <v>1</v>
      </c>
      <c r="C4" s="199"/>
      <c r="D4" s="202"/>
      <c r="E4" s="80" t="s">
        <v>28</v>
      </c>
      <c r="F4" s="60" t="s">
        <v>29</v>
      </c>
      <c r="G4" s="60" t="s">
        <v>3</v>
      </c>
      <c r="H4" s="60" t="s">
        <v>2</v>
      </c>
      <c r="I4" s="60" t="s">
        <v>30</v>
      </c>
      <c r="J4" s="53" t="s">
        <v>4</v>
      </c>
    </row>
    <row r="5" spans="1:10" ht="13.5">
      <c r="A5" s="32">
        <v>1</v>
      </c>
      <c r="B5" s="189" t="s">
        <v>5</v>
      </c>
      <c r="C5" s="190"/>
      <c r="D5" s="191"/>
      <c r="E5" s="81">
        <v>1748</v>
      </c>
      <c r="F5" s="10">
        <v>2137</v>
      </c>
      <c r="G5" s="59">
        <v>3544</v>
      </c>
      <c r="H5" s="59">
        <v>4736</v>
      </c>
      <c r="I5" s="10">
        <v>2364</v>
      </c>
      <c r="J5" s="54">
        <f aca="true" t="shared" si="0" ref="J5:J25">SUM(E5:I5)</f>
        <v>14529</v>
      </c>
    </row>
    <row r="6" spans="1:10" ht="13.5">
      <c r="A6" s="17">
        <f>A5+1</f>
        <v>2</v>
      </c>
      <c r="B6" s="195" t="s">
        <v>6</v>
      </c>
      <c r="C6" s="196"/>
      <c r="D6" s="186"/>
      <c r="E6" s="74">
        <v>31</v>
      </c>
      <c r="F6" s="3"/>
      <c r="G6" s="4">
        <v>12</v>
      </c>
      <c r="H6" s="4">
        <v>1</v>
      </c>
      <c r="I6" s="3">
        <v>2</v>
      </c>
      <c r="J6" s="54">
        <f t="shared" si="0"/>
        <v>46</v>
      </c>
    </row>
    <row r="7" spans="1:10" ht="13.5">
      <c r="A7" s="17">
        <f aca="true" t="shared" si="1" ref="A7:A27">A6+1</f>
        <v>3</v>
      </c>
      <c r="B7" s="195" t="s">
        <v>20</v>
      </c>
      <c r="C7" s="196"/>
      <c r="D7" s="186"/>
      <c r="E7" s="74">
        <f>SUM(E5:E6)</f>
        <v>1779</v>
      </c>
      <c r="F7" s="3">
        <f>SUM(F5:F6)</f>
        <v>2137</v>
      </c>
      <c r="G7" s="3">
        <f>SUM(G5:G6)</f>
        <v>3556</v>
      </c>
      <c r="H7" s="3">
        <f>SUM(H5:H6)</f>
        <v>4737</v>
      </c>
      <c r="I7" s="3">
        <f>SUM(I5:I6)</f>
        <v>2366</v>
      </c>
      <c r="J7" s="54">
        <f t="shared" si="0"/>
        <v>14575</v>
      </c>
    </row>
    <row r="8" spans="1:10" ht="13.5">
      <c r="A8" s="17">
        <f t="shared" si="1"/>
        <v>4</v>
      </c>
      <c r="B8" s="182" t="s">
        <v>7</v>
      </c>
      <c r="C8" s="185" t="s">
        <v>8</v>
      </c>
      <c r="D8" s="186"/>
      <c r="E8" s="75">
        <v>40</v>
      </c>
      <c r="F8" s="5">
        <v>2</v>
      </c>
      <c r="G8" s="6">
        <v>25</v>
      </c>
      <c r="H8" s="6"/>
      <c r="I8" s="5"/>
      <c r="J8" s="54">
        <f t="shared" si="0"/>
        <v>67</v>
      </c>
    </row>
    <row r="9" spans="1:10" ht="13.5">
      <c r="A9" s="17">
        <f t="shared" si="1"/>
        <v>5</v>
      </c>
      <c r="B9" s="183"/>
      <c r="C9" s="185" t="s">
        <v>9</v>
      </c>
      <c r="D9" s="186"/>
      <c r="E9" s="74">
        <v>26</v>
      </c>
      <c r="F9" s="5">
        <v>23</v>
      </c>
      <c r="G9" s="6">
        <v>24</v>
      </c>
      <c r="H9" s="6">
        <v>45</v>
      </c>
      <c r="I9" s="5">
        <v>21</v>
      </c>
      <c r="J9" s="54">
        <f t="shared" si="0"/>
        <v>139</v>
      </c>
    </row>
    <row r="10" spans="1:10" ht="13.5">
      <c r="A10" s="17">
        <f t="shared" si="1"/>
        <v>6</v>
      </c>
      <c r="B10" s="183"/>
      <c r="C10" s="185" t="s">
        <v>10</v>
      </c>
      <c r="D10" s="186"/>
      <c r="E10" s="74">
        <v>14</v>
      </c>
      <c r="F10" s="5">
        <v>41</v>
      </c>
      <c r="G10" s="6">
        <v>11</v>
      </c>
      <c r="H10" s="6">
        <v>34</v>
      </c>
      <c r="I10" s="5">
        <v>34</v>
      </c>
      <c r="J10" s="54">
        <f t="shared" si="0"/>
        <v>134</v>
      </c>
    </row>
    <row r="11" spans="1:10" ht="13.5">
      <c r="A11" s="17">
        <f t="shared" si="1"/>
        <v>7</v>
      </c>
      <c r="B11" s="183"/>
      <c r="C11" s="185" t="s">
        <v>11</v>
      </c>
      <c r="D11" s="186"/>
      <c r="E11" s="74">
        <v>1</v>
      </c>
      <c r="F11" s="5">
        <v>6</v>
      </c>
      <c r="G11" s="6">
        <v>4</v>
      </c>
      <c r="H11" s="6">
        <v>10</v>
      </c>
      <c r="I11" s="5">
        <v>2</v>
      </c>
      <c r="J11" s="54">
        <f t="shared" si="0"/>
        <v>23</v>
      </c>
    </row>
    <row r="12" spans="1:10" ht="13.5">
      <c r="A12" s="17">
        <f t="shared" si="1"/>
        <v>8</v>
      </c>
      <c r="B12" s="183"/>
      <c r="C12" s="185" t="s">
        <v>12</v>
      </c>
      <c r="D12" s="186"/>
      <c r="E12" s="76">
        <f>E8+E9</f>
        <v>66</v>
      </c>
      <c r="F12" s="4">
        <f>F8+F9</f>
        <v>25</v>
      </c>
      <c r="G12" s="4">
        <f>G8+G9</f>
        <v>49</v>
      </c>
      <c r="H12" s="4">
        <f>H8+H9</f>
        <v>45</v>
      </c>
      <c r="I12" s="4">
        <f>I8+I9</f>
        <v>21</v>
      </c>
      <c r="J12" s="54">
        <f t="shared" si="0"/>
        <v>206</v>
      </c>
    </row>
    <row r="13" spans="1:10" ht="13.5">
      <c r="A13" s="17">
        <f t="shared" si="1"/>
        <v>9</v>
      </c>
      <c r="B13" s="197"/>
      <c r="C13" s="185" t="s">
        <v>13</v>
      </c>
      <c r="D13" s="186"/>
      <c r="E13" s="76">
        <f>E10+E11</f>
        <v>15</v>
      </c>
      <c r="F13" s="4">
        <f>F10+F11</f>
        <v>47</v>
      </c>
      <c r="G13" s="4">
        <f>G10+G11</f>
        <v>15</v>
      </c>
      <c r="H13" s="4">
        <f>H10+H11</f>
        <v>44</v>
      </c>
      <c r="I13" s="4">
        <f>I10+I11</f>
        <v>36</v>
      </c>
      <c r="J13" s="54">
        <f t="shared" si="0"/>
        <v>157</v>
      </c>
    </row>
    <row r="14" spans="1:10" ht="13.5">
      <c r="A14" s="17">
        <f t="shared" si="1"/>
        <v>10</v>
      </c>
      <c r="B14" s="182" t="s">
        <v>14</v>
      </c>
      <c r="C14" s="7" t="s">
        <v>15</v>
      </c>
      <c r="D14" s="77" t="s">
        <v>16</v>
      </c>
      <c r="E14" s="74"/>
      <c r="F14" s="3"/>
      <c r="G14" s="4"/>
      <c r="H14" s="4"/>
      <c r="I14" s="3"/>
      <c r="J14" s="54">
        <f t="shared" si="0"/>
        <v>0</v>
      </c>
    </row>
    <row r="15" spans="1:10" ht="13.5">
      <c r="A15" s="17">
        <f t="shared" si="1"/>
        <v>11</v>
      </c>
      <c r="B15" s="183"/>
      <c r="C15" s="8"/>
      <c r="D15" s="77" t="s">
        <v>17</v>
      </c>
      <c r="E15" s="74"/>
      <c r="F15" s="4"/>
      <c r="G15" s="4"/>
      <c r="H15" s="4"/>
      <c r="I15" s="4"/>
      <c r="J15" s="54">
        <f t="shared" si="0"/>
        <v>0</v>
      </c>
    </row>
    <row r="16" spans="1:10" ht="13.5">
      <c r="A16" s="17">
        <f t="shared" si="1"/>
        <v>12</v>
      </c>
      <c r="B16" s="183"/>
      <c r="C16" s="7" t="s">
        <v>9</v>
      </c>
      <c r="D16" s="77" t="s">
        <v>16</v>
      </c>
      <c r="E16" s="74">
        <v>349</v>
      </c>
      <c r="F16" s="3">
        <v>187</v>
      </c>
      <c r="G16" s="4">
        <v>383</v>
      </c>
      <c r="H16" s="4">
        <v>336</v>
      </c>
      <c r="I16" s="3">
        <v>145</v>
      </c>
      <c r="J16" s="54">
        <f t="shared" si="0"/>
        <v>1400</v>
      </c>
    </row>
    <row r="17" spans="1:10" ht="13.5">
      <c r="A17" s="17">
        <f t="shared" si="1"/>
        <v>13</v>
      </c>
      <c r="B17" s="183"/>
      <c r="C17" s="8"/>
      <c r="D17" s="77" t="s">
        <v>17</v>
      </c>
      <c r="E17" s="74">
        <f>499.58*60</f>
        <v>29974.8</v>
      </c>
      <c r="F17" s="3">
        <f>132.33*60</f>
        <v>7939.800000000001</v>
      </c>
      <c r="G17" s="4">
        <f>340*60</f>
        <v>20400</v>
      </c>
      <c r="H17" s="4">
        <f>274*60</f>
        <v>16440</v>
      </c>
      <c r="I17" s="4">
        <f>153.8*60</f>
        <v>9228</v>
      </c>
      <c r="J17" s="54">
        <f t="shared" si="0"/>
        <v>83982.6</v>
      </c>
    </row>
    <row r="18" spans="1:10" ht="13.5">
      <c r="A18" s="17">
        <f t="shared" si="1"/>
        <v>14</v>
      </c>
      <c r="B18" s="183"/>
      <c r="C18" s="7" t="s">
        <v>10</v>
      </c>
      <c r="D18" s="77" t="s">
        <v>16</v>
      </c>
      <c r="E18" s="74">
        <v>183</v>
      </c>
      <c r="F18" s="3">
        <v>132</v>
      </c>
      <c r="G18" s="4">
        <v>303</v>
      </c>
      <c r="H18" s="4">
        <v>139</v>
      </c>
      <c r="I18" s="3">
        <v>138</v>
      </c>
      <c r="J18" s="54">
        <f t="shared" si="0"/>
        <v>895</v>
      </c>
    </row>
    <row r="19" spans="1:10" ht="13.5">
      <c r="A19" s="17">
        <f t="shared" si="1"/>
        <v>15</v>
      </c>
      <c r="B19" s="183"/>
      <c r="C19" s="8"/>
      <c r="D19" s="77" t="s">
        <v>17</v>
      </c>
      <c r="E19" s="74">
        <f>222.98*60</f>
        <v>13378.8</v>
      </c>
      <c r="F19" s="4">
        <f>145.2*60</f>
        <v>8712</v>
      </c>
      <c r="G19" s="4">
        <f>299*60</f>
        <v>17940</v>
      </c>
      <c r="H19" s="4">
        <f>147*60</f>
        <v>8820</v>
      </c>
      <c r="I19" s="4">
        <f>129.7*60</f>
        <v>7781.999999999999</v>
      </c>
      <c r="J19" s="54">
        <f t="shared" si="0"/>
        <v>56632.8</v>
      </c>
    </row>
    <row r="20" spans="1:10" ht="13.5">
      <c r="A20" s="17">
        <f t="shared" si="1"/>
        <v>16</v>
      </c>
      <c r="B20" s="183"/>
      <c r="C20" s="7" t="s">
        <v>11</v>
      </c>
      <c r="D20" s="77" t="s">
        <v>16</v>
      </c>
      <c r="E20" s="74">
        <v>37</v>
      </c>
      <c r="F20" s="3">
        <v>55</v>
      </c>
      <c r="G20" s="4">
        <v>89</v>
      </c>
      <c r="H20" s="4">
        <v>68</v>
      </c>
      <c r="I20" s="3">
        <v>22</v>
      </c>
      <c r="J20" s="54">
        <f t="shared" si="0"/>
        <v>271</v>
      </c>
    </row>
    <row r="21" spans="1:10" ht="13.5">
      <c r="A21" s="17">
        <f t="shared" si="1"/>
        <v>17</v>
      </c>
      <c r="B21" s="183"/>
      <c r="C21" s="8"/>
      <c r="D21" s="77" t="s">
        <v>17</v>
      </c>
      <c r="E21" s="74">
        <f>40.62*60</f>
        <v>2437.2</v>
      </c>
      <c r="F21" s="4">
        <f>28.18*60</f>
        <v>1690.8</v>
      </c>
      <c r="G21" s="4">
        <f>62*60</f>
        <v>3720</v>
      </c>
      <c r="H21" s="4">
        <f>64*60</f>
        <v>3840</v>
      </c>
      <c r="I21" s="4">
        <f>12.2*60</f>
        <v>732</v>
      </c>
      <c r="J21" s="54">
        <f t="shared" si="0"/>
        <v>12420</v>
      </c>
    </row>
    <row r="22" spans="1:10" ht="13.5">
      <c r="A22" s="17">
        <f t="shared" si="1"/>
        <v>18</v>
      </c>
      <c r="B22" s="183"/>
      <c r="C22" s="185" t="s">
        <v>18</v>
      </c>
      <c r="D22" s="186"/>
      <c r="E22" s="74">
        <f aca="true" t="shared" si="2" ref="E22:I23">E14+E16+E18+E20</f>
        <v>569</v>
      </c>
      <c r="F22" s="3">
        <f t="shared" si="2"/>
        <v>374</v>
      </c>
      <c r="G22" s="3">
        <f t="shared" si="2"/>
        <v>775</v>
      </c>
      <c r="H22" s="3">
        <f t="shared" si="2"/>
        <v>543</v>
      </c>
      <c r="I22" s="3">
        <f t="shared" si="2"/>
        <v>305</v>
      </c>
      <c r="J22" s="54">
        <f t="shared" si="0"/>
        <v>2566</v>
      </c>
    </row>
    <row r="23" spans="1:10" ht="14.25" thickBot="1">
      <c r="A23" s="17">
        <f t="shared" si="1"/>
        <v>19</v>
      </c>
      <c r="B23" s="184"/>
      <c r="C23" s="187" t="s">
        <v>19</v>
      </c>
      <c r="D23" s="188"/>
      <c r="E23" s="74">
        <f t="shared" si="2"/>
        <v>45790.799999999996</v>
      </c>
      <c r="F23" s="3">
        <f t="shared" si="2"/>
        <v>18342.600000000002</v>
      </c>
      <c r="G23" s="3">
        <f t="shared" si="2"/>
        <v>42060</v>
      </c>
      <c r="H23" s="3">
        <f t="shared" si="2"/>
        <v>29100</v>
      </c>
      <c r="I23" s="3">
        <f t="shared" si="2"/>
        <v>17742</v>
      </c>
      <c r="J23" s="54">
        <f t="shared" si="0"/>
        <v>153035.4</v>
      </c>
    </row>
    <row r="24" spans="1:10" ht="13.5">
      <c r="A24" s="17">
        <f t="shared" si="1"/>
        <v>20</v>
      </c>
      <c r="B24" s="189" t="s">
        <v>21</v>
      </c>
      <c r="C24" s="190"/>
      <c r="D24" s="191"/>
      <c r="E24" s="74">
        <f>E7-E12</f>
        <v>1713</v>
      </c>
      <c r="F24" s="3">
        <f>F7-F12</f>
        <v>2112</v>
      </c>
      <c r="G24" s="3">
        <f>G7-G12</f>
        <v>3507</v>
      </c>
      <c r="H24" s="3">
        <f>H7-H12</f>
        <v>4692</v>
      </c>
      <c r="I24" s="3">
        <f>I7-I12</f>
        <v>2345</v>
      </c>
      <c r="J24" s="54">
        <f t="shared" si="0"/>
        <v>14369</v>
      </c>
    </row>
    <row r="25" spans="1:10" ht="14.25" thickBot="1">
      <c r="A25" s="17">
        <f t="shared" si="1"/>
        <v>21</v>
      </c>
      <c r="B25" s="179" t="s">
        <v>22</v>
      </c>
      <c r="C25" s="180"/>
      <c r="D25" s="181"/>
      <c r="E25" s="82">
        <f>E24-E22-E13</f>
        <v>1129</v>
      </c>
      <c r="F25" s="15">
        <f>F24-F22-F13</f>
        <v>1691</v>
      </c>
      <c r="G25" s="15">
        <f>G24-G22-G13</f>
        <v>2717</v>
      </c>
      <c r="H25" s="15">
        <f>H24-H22-H13</f>
        <v>4105</v>
      </c>
      <c r="I25" s="15">
        <f>I24-I22-I13</f>
        <v>2004</v>
      </c>
      <c r="J25" s="55">
        <f t="shared" si="0"/>
        <v>11646</v>
      </c>
    </row>
    <row r="26" spans="1:10" ht="14.25" thickBot="1">
      <c r="A26" s="17">
        <f t="shared" si="1"/>
        <v>22</v>
      </c>
      <c r="B26" s="172" t="s">
        <v>23</v>
      </c>
      <c r="C26" s="173"/>
      <c r="D26" s="173"/>
      <c r="E26" s="117">
        <f aca="true" t="shared" si="3" ref="E26:J26">IF(E24=0,0,(E25+E16)/E24)</f>
        <v>0.8628137769994162</v>
      </c>
      <c r="F26" s="117">
        <f t="shared" si="3"/>
        <v>0.8892045454545454</v>
      </c>
      <c r="G26" s="117">
        <f t="shared" si="3"/>
        <v>0.8839463929284288</v>
      </c>
      <c r="H26" s="117">
        <f t="shared" si="3"/>
        <v>0.9465046888320545</v>
      </c>
      <c r="I26" s="117">
        <f t="shared" si="3"/>
        <v>0.9164179104477612</v>
      </c>
      <c r="J26" s="118">
        <f t="shared" si="3"/>
        <v>0.907926786832765</v>
      </c>
    </row>
    <row r="27" spans="1:10" ht="14.25" thickBot="1">
      <c r="A27" s="17">
        <f t="shared" si="1"/>
        <v>23</v>
      </c>
      <c r="B27" s="175" t="s">
        <v>24</v>
      </c>
      <c r="C27" s="176"/>
      <c r="D27" s="176"/>
      <c r="E27" s="114">
        <f aca="true" t="shared" si="4" ref="E27:J27">+E23/E22</f>
        <v>80.47592267135325</v>
      </c>
      <c r="F27" s="114">
        <f t="shared" si="4"/>
        <v>49.04438502673798</v>
      </c>
      <c r="G27" s="114">
        <f t="shared" si="4"/>
        <v>54.270967741935486</v>
      </c>
      <c r="H27" s="114">
        <f t="shared" si="4"/>
        <v>53.591160220994475</v>
      </c>
      <c r="I27" s="114">
        <f t="shared" si="4"/>
        <v>58.170491803278686</v>
      </c>
      <c r="J27" s="115">
        <f t="shared" si="4"/>
        <v>59.63967264224474</v>
      </c>
    </row>
    <row r="28" spans="1:10" ht="13.5">
      <c r="A28" s="1"/>
      <c r="B28" s="1"/>
      <c r="C28" s="1"/>
      <c r="D28" s="1"/>
      <c r="E28" s="2"/>
      <c r="F28" s="2"/>
      <c r="G28" s="2"/>
      <c r="H28" s="2"/>
      <c r="I28" s="2"/>
      <c r="J28" s="2"/>
    </row>
  </sheetData>
  <mergeCells count="21">
    <mergeCell ref="A1:J1"/>
    <mergeCell ref="A2:J2"/>
    <mergeCell ref="A3:J3"/>
    <mergeCell ref="B4:D4"/>
    <mergeCell ref="B5:D5"/>
    <mergeCell ref="B6:D6"/>
    <mergeCell ref="B7:D7"/>
    <mergeCell ref="B8:B13"/>
    <mergeCell ref="C8:D8"/>
    <mergeCell ref="C9:D9"/>
    <mergeCell ref="C10:D10"/>
    <mergeCell ref="C11:D11"/>
    <mergeCell ref="C12:D12"/>
    <mergeCell ref="C13:D13"/>
    <mergeCell ref="B25:D25"/>
    <mergeCell ref="B26:D26"/>
    <mergeCell ref="B27:D27"/>
    <mergeCell ref="B14:B23"/>
    <mergeCell ref="C22:D22"/>
    <mergeCell ref="C23:D23"/>
    <mergeCell ref="B24:D2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U.A.E AERONAUTICA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Nacional</dc:title>
  <dc:subject/>
  <dc:creator>4242800</dc:creator>
  <cp:keywords/>
  <dc:description/>
  <cp:lastModifiedBy>4242800</cp:lastModifiedBy>
  <cp:lastPrinted>2008-02-06T14:02:44Z</cp:lastPrinted>
  <dcterms:created xsi:type="dcterms:W3CDTF">2007-05-22T21:19:50Z</dcterms:created>
  <dcterms:modified xsi:type="dcterms:W3CDTF">2008-05-20T14:15:38Z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AEVVZYF6TF2M-623-73</vt:lpwstr>
  </property>
  <property fmtid="{D5CDD505-2E9C-101B-9397-08002B2CF9AE}" pid="4" name="_dlc_DocIdItemGu">
    <vt:lpwstr>7b104247-6202-49fc-9790-6068f3c8353a</vt:lpwstr>
  </property>
  <property fmtid="{D5CDD505-2E9C-101B-9397-08002B2CF9AE}" pid="5" name="_dlc_DocIdU">
    <vt:lpwstr>http://bog127/AAeronautica/Estadisticas/TAereo/_layouts/DocIdRedir.aspx?ID=AEVVZYF6TF2M-623-73, AEVVZYF6TF2M-623-73</vt:lpwstr>
  </property>
  <property fmtid="{D5CDD505-2E9C-101B-9397-08002B2CF9AE}" pid="6" name="Cla">
    <vt:lpwstr>CALIDAD 2007</vt:lpwstr>
  </property>
  <property fmtid="{D5CDD505-2E9C-101B-9397-08002B2CF9AE}" pid="7" name="Secci">
    <vt:lpwstr>Calidad del Servicio</vt:lpwstr>
  </property>
  <property fmtid="{D5CDD505-2E9C-101B-9397-08002B2CF9AE}" pid="8" name="Ord">
    <vt:lpwstr>02</vt:lpwstr>
  </property>
  <property fmtid="{D5CDD505-2E9C-101B-9397-08002B2CF9AE}" pid="9" name="Forma">
    <vt:lpwstr>/Style%20Library/Images/xls.svg</vt:lpwstr>
  </property>
  <property fmtid="{D5CDD505-2E9C-101B-9397-08002B2CF9AE}" pid="10" name="Filt">
    <vt:lpwstr>CALIDAD 2007</vt:lpwstr>
  </property>
</Properties>
</file>